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500" firstSheet="1" activeTab="8"/>
  </bookViews>
  <sheets>
    <sheet name="汇总" sheetId="1" r:id="rId1"/>
    <sheet name="道路" sheetId="2" r:id="rId2"/>
    <sheet name="雨水管道疏通" sheetId="3" r:id="rId3"/>
    <sheet name="污水管道疏通" sheetId="5" r:id="rId4"/>
    <sheet name="出水口维修" sheetId="6" r:id="rId5"/>
    <sheet name="管道检测" sheetId="12" r:id="rId6"/>
    <sheet name="淤泥" sheetId="11" r:id="rId7"/>
    <sheet name="桥梁养护" sheetId="7" r:id="rId8"/>
    <sheet name="零星维修及应急处置" sheetId="13" r:id="rId9"/>
  </sheets>
  <definedNames>
    <definedName name="_xlnm.Print_Titles" localSheetId="7">桥梁养护!$1:$2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<sst xmlns="http://schemas.openxmlformats.org/spreadsheetml/2006/main" count="417" uniqueCount="216">
  <si>
    <t>高新区文昌东路以北2026年市政养护服务汇总表</t>
  </si>
  <si>
    <t>序号</t>
  </si>
  <si>
    <t>分部名称</t>
  </si>
  <si>
    <t>实施内容</t>
  </si>
  <si>
    <t>报价（元）</t>
  </si>
  <si>
    <t>一</t>
  </si>
  <si>
    <t>文昌东路以北市政道路养护采购服务</t>
  </si>
  <si>
    <t>道路维修养护</t>
  </si>
  <si>
    <t>1、人行道道板砖（包括步道砖、火烧板、面包砖、彩色道板）维修；2、砼路面（包括压膜砼人行道）维修；3、沥青路面铣刨、摊铺、常规井盖、砼路牙沿、花岗岩路牙维修</t>
  </si>
  <si>
    <t>雨水管道疏通养护</t>
  </si>
  <si>
    <t>雨水管疏通养护</t>
  </si>
  <si>
    <t>污水管道疏通养护</t>
  </si>
  <si>
    <t>污水管网疏通养护</t>
  </si>
  <si>
    <t>出水口养护</t>
  </si>
  <si>
    <t>出水口疏通清淤养护</t>
  </si>
  <si>
    <t>管道检测</t>
  </si>
  <si>
    <t>雨污水管道CCTV检测</t>
  </si>
  <si>
    <t>淤泥清运、处置</t>
  </si>
  <si>
    <t>包含淤泥清运、淤泥处置</t>
  </si>
  <si>
    <t>桥梁维修养护</t>
  </si>
  <si>
    <t>包含桥梁栏杆、桥面、胀缝、桥台及桥下清理、裂缝及露筋处理</t>
  </si>
  <si>
    <t>零星维修、应急处置及日常巡查</t>
  </si>
  <si>
    <t>1、包含围墙刷白、消火栓维修更换、管道应急气囊封堵、应急排水、吸污以及路面除雪、日常巡视检查</t>
  </si>
  <si>
    <t>二</t>
  </si>
  <si>
    <t>合计</t>
  </si>
  <si>
    <t>（1）~（8）</t>
  </si>
  <si>
    <t>高新区文昌东路以北2026年市政养护服务-道路养护</t>
  </si>
  <si>
    <t>名称</t>
  </si>
  <si>
    <t>项目特征</t>
  </si>
  <si>
    <t>计量单位</t>
  </si>
  <si>
    <t>工程量</t>
  </si>
  <si>
    <t>维修率</t>
  </si>
  <si>
    <t>全费用单价（元）</t>
  </si>
  <si>
    <t>合价（元）</t>
  </si>
  <si>
    <t>人行道维修养护（步道砖）</t>
  </si>
  <si>
    <t>1、拆除步道砖人行道及原有8cm混凝土垫层
2、挖掘机挖渣装车外运5km
3、人工夯实
4、浇筑8cm厚C25混凝土垫层
5、铺设步道砖</t>
  </si>
  <si>
    <t>m2</t>
  </si>
  <si>
    <t>人行道维修养护（火烧板）</t>
  </si>
  <si>
    <t>1、拆除火烧板人行道及原有8cm混凝土垫层
2、挖掘机挖渣装车外运5km
3、人工夯实
4、浇筑8cm厚C25混凝土垫层
5、铺设火烧板</t>
  </si>
  <si>
    <t>人行道维修养护（面包砖）</t>
  </si>
  <si>
    <t>1、拆除面包砖人行道及原有8cm混凝土垫层
2、挖掘机挖渣装车外运5km
3、人工夯实
4、浇筑8cm厚C25混凝土垫层
5、铺设面包砖</t>
  </si>
  <si>
    <t>人行道维修养护（彩色道板）</t>
  </si>
  <si>
    <t>1、拆除彩色道板人行道及原有8cm混凝土垫层
2、挖掘机挖渣装车外运5km
3、人工夯实
4、浇筑8cm厚C25混凝土垫层
5、铺设彩色道板</t>
  </si>
  <si>
    <t>C30砼15cm厚度人行道</t>
  </si>
  <si>
    <t>1、拆除、清理、外运5km、整平；
2、恢复5cm厚碎石垫层，15cm厚C30非泵送砼面层</t>
  </si>
  <si>
    <t>C30砼18cm厚度人行道</t>
  </si>
  <si>
    <t>1、拆除原人行道砼18cm，装车外运5km；
2、恢复5cm厚碎石垫层，18cm厚C30非泵送商品砼面层</t>
  </si>
  <si>
    <t>C30砼15cm压膜砼人行道</t>
  </si>
  <si>
    <t>1、拆除、清理、外运5km；
2、整平、恢复5cm厚碎石垫层，15cm厚C30非泵送商品砼基层
3、面层：强化剂模具压印艺术地坪</t>
  </si>
  <si>
    <t>塑胶步道维修养护</t>
  </si>
  <si>
    <t>1、拆除塑胶跑道及原有8cm混凝土垫层
2、挖掘机挖渣装车外运5km
3、人工夯实
4、浇筑8cmC20混凝土垫层
5、铺设5mm厚塑胶跑道</t>
  </si>
  <si>
    <t>20cm厚度主路面（C40早强）（20cm厚5%水泥稳定碎石底基层）</t>
  </si>
  <si>
    <t>1、拆除原有20cm水泥砼路面，拆除原有灰土20cm，机械装车外运5km；
2、恢复20cm厚5%水泥稳定碎石基层，恢复20cm厚C40非泵送早强商品砼面层
3、路面养生，模板，植筋</t>
  </si>
  <si>
    <t>20cm厚度主路面（C40早强）（20cm厚C20砼底基层）</t>
  </si>
  <si>
    <t>1、拆除原有20cm水泥砼路面，拆除原有灰土20cm，机械装车外运5km；
2、恢复20cmC20砼基层，恢复20cm厚C40非泵送早强商品砼面层
3、路面养生，模板，植筋</t>
  </si>
  <si>
    <t>22cm厚度主路面（C40早强）（20cm厚5%水泥稳定碎石基层）</t>
  </si>
  <si>
    <t>1、拆除原有22cm水泥砼路面，拆除原有灰土22cm，机械装车外运5km；
2、恢复20cm水泥稳定碎石基层，恢复22cm厚C40非泵送早强商品砼面层
3、路面养生，模板，植筋</t>
  </si>
  <si>
    <t>22cm厚度主路面（C40早强）（20cm厚C20砼底基层）</t>
  </si>
  <si>
    <t>1、拆除原有22cm水泥砼路面，拆除原有灰土22cm，机械装车外运5km；
2、恢复20cmC20砼基层，恢复22cm厚C40非泵送早强商品砼面层
3、路面养生，模板，植筋</t>
  </si>
  <si>
    <t>11cm厚沥青砼路面铣刨、摊铺（大面积翻修，执行现行市政定额）</t>
  </si>
  <si>
    <t>1、拆除、外运：铣刨沥青砼11cm厚、装车外运5km
2、路面恢复：铺设玻纤维格栅、沥青下封层、摊铺4cm厚细粒式沥青砼、7cm厚中粒式沥青砼</t>
  </si>
  <si>
    <t>6cm厚细粒式沥青砼路面铣刨、摊铺（大面积翻修，执行现行市政定额）</t>
  </si>
  <si>
    <t xml:space="preserve">1、拆除、外运：铣刨5cm沥青砼、装车外运5km
2、路面恢复：沥青下封层、机械摊铺6cm厚细粒式沥青混凝土路面 </t>
  </si>
  <si>
    <t>11cm厚沥青砼路面铣刨、摊铺（维修定额范围内小面积维修，执行养护定额）</t>
  </si>
  <si>
    <t>1、拆除、外运：铣刨沥青砼11cm、装车外运5km
2、路面恢复：铺设土工格栅、沥青下封层、摊铺4cm厚细粒式沥青砼、7cm厚中粒式沥青砼</t>
  </si>
  <si>
    <t>6cm厚沥青砼路面铣刨、摊铺（维修定额范围内小面积维修，执行养护定额）</t>
  </si>
  <si>
    <t>1、拆除、外运：铣刨沥青砼6cm、装车外运5km
2、路面恢复：沥青下封层、摊铺6cm厚细粒沥青混凝土</t>
  </si>
  <si>
    <t>11cm厚沥青砼路面铣刨、沥青冷补料摊铺（维修定额范围内小面积维修，执行养护定额）</t>
  </si>
  <si>
    <t>1、拆除、外运：铣刨沥青砼11cm、装车外运5km
2、路面恢复：铺设土工格栅、沥青下封层、摊铺11cm厚沥青冷补料</t>
  </si>
  <si>
    <t>6cm厚沥青砼路面铣刨、沥青冷补料摊铺（维修定额范围内小面积维修，执行养护定额）</t>
  </si>
  <si>
    <t>1、拆除、外运：铣刨沥青砼6cm、装车外运5km
2、路面恢复：沥青下封层、摊铺6cm厚沥青冷补料</t>
  </si>
  <si>
    <t>雨水口</t>
  </si>
  <si>
    <t>1、更换雨水井盖 500×350以内，常规钢纤维雨水篦盖</t>
  </si>
  <si>
    <t>座</t>
  </si>
  <si>
    <t>1、更换雨水井盖 500×350以内，常规铸铁雨水篦盖</t>
  </si>
  <si>
    <t>检查井φ800(铸铁井盖框）</t>
  </si>
  <si>
    <t>1、检查井维修 更换检查井铸铁框盖 井框φ800</t>
  </si>
  <si>
    <t>砼路牙沿拆除及恢复</t>
  </si>
  <si>
    <t>1、拆除原有砼侧石，装车外运5km；
2、铺设预制砼侧石，C15砼垫层</t>
  </si>
  <si>
    <t>m</t>
  </si>
  <si>
    <t>1、拆除原有砼平石，装车外运5km；
2、铺设预制砼平石，C15砼垫层</t>
  </si>
  <si>
    <t>蘑菇石路牙沿拆除及恢复</t>
  </si>
  <si>
    <t>1、拆除原有蘑菇石路牙，装车外运5km；
2、铺设蘑菇石路牙，C15砼垫层</t>
  </si>
  <si>
    <t>花岗岩路牙沿拆除及恢复</t>
  </si>
  <si>
    <t>1、拆除原有石质侧石，装车外运5km，
2、铺设花岗岩侧石，C15砼垫层</t>
  </si>
  <si>
    <t>1、拆除原有石质平石，装车外运5km，
2、铺设花岗岩平石，C15砼垫层</t>
  </si>
  <si>
    <t>锯缝机锯缝灌缝（石油沥青）</t>
  </si>
  <si>
    <t>1、锯缝，石油沥青灌缝</t>
  </si>
  <si>
    <t>注：以上单价为全费用单价，包含但不限于人工费、材料费、机械费、管理费、利润、措施费、规费、税金等全部费用。</t>
  </si>
  <si>
    <t>高新区文昌东路以北2026年市政养护服务-雨水管道疏通养护</t>
  </si>
  <si>
    <t>北</t>
  </si>
  <si>
    <t>项目名称</t>
  </si>
  <si>
    <t>项目特征描述</t>
  </si>
  <si>
    <t>计量
单位</t>
  </si>
  <si>
    <t>次数</t>
  </si>
  <si>
    <t>1</t>
  </si>
  <si>
    <t>雨水管道疏通养护(300管道)</t>
  </si>
  <si>
    <t>1、规格：雨水管道疏通DN300
2、疏通工具：联合疏通车</t>
  </si>
  <si>
    <t>2</t>
  </si>
  <si>
    <t>雨水管道疏通养护(400~600管道)</t>
  </si>
  <si>
    <t>1、规格：雨水管道疏通DN400~DN500
2、疏通工具：联合疏通车</t>
  </si>
  <si>
    <t>3</t>
  </si>
  <si>
    <t>雨水管道疏通养护(700~800管道)</t>
  </si>
  <si>
    <t>1、规格：雨水管道疏通DN600~DN800
2、疏通工具：联合疏通车</t>
  </si>
  <si>
    <t>4</t>
  </si>
  <si>
    <t>雨水管道疏通养护(900~1000管道)</t>
  </si>
  <si>
    <t>1、规格：雨水管道疏通DN900~DN1000
2、疏通工具：联合疏通车</t>
  </si>
  <si>
    <t>5</t>
  </si>
  <si>
    <t>雨水管道疏通养护(1100~1200管道)</t>
  </si>
  <si>
    <t>1、规格：雨水管道疏通DN1100~DN1200
2、疏通工具：联合疏通车</t>
  </si>
  <si>
    <t>6</t>
  </si>
  <si>
    <t>雨水管道疏通养护(1300及以上管道)</t>
  </si>
  <si>
    <t>1、规格：雨水管道疏通DN1300以上
2、疏通工具：联合疏通车</t>
  </si>
  <si>
    <t>7</t>
  </si>
  <si>
    <t>砌筑井</t>
  </si>
  <si>
    <t>雨水检查井井上清疏，井深2m</t>
  </si>
  <si>
    <t>8</t>
  </si>
  <si>
    <t>雨水检查井井上清疏，井深2m-3m</t>
  </si>
  <si>
    <t>9</t>
  </si>
  <si>
    <t>雨水检查井井上清疏，井深3m外</t>
  </si>
  <si>
    <t>10</t>
  </si>
  <si>
    <t>雨水检查井井下清疏，按潜水员清淤（断水）考虑，淤泥暂按30cm考虑</t>
  </si>
  <si>
    <t>11</t>
  </si>
  <si>
    <t>1、雨水箅子及圈口材质、型号、规格：500*350mm以下</t>
  </si>
  <si>
    <t>合    计</t>
  </si>
  <si>
    <t>高新区文昌东路以北2026年市政养护服务-污水管道疏通养护</t>
  </si>
  <si>
    <t>污水管道疏通养护(300管道)</t>
  </si>
  <si>
    <t>1、规格：污水管道疏通DN300
2、疏通工具：联合疏通车</t>
  </si>
  <si>
    <t>污水管道疏通养护(400~600管道)</t>
  </si>
  <si>
    <t>1、规格：污水管道疏通DN400-DN500
2、疏通工具：联合疏通车</t>
  </si>
  <si>
    <t>污水管道疏通养护(700~800管道)</t>
  </si>
  <si>
    <t>1、规格：污水管道疏通DN600-DN800
2、疏通工具：联合疏通车</t>
  </si>
  <si>
    <t>污水管道疏通养护(900~1000管道)</t>
  </si>
  <si>
    <t>1、规格：污水管道疏通DN900-DN1000
2、疏通工具：联合疏通车</t>
  </si>
  <si>
    <t>污水管道疏通养护(1100~1200管道)</t>
  </si>
  <si>
    <t>1、规格：污水管道疏通DN1100-DN1200
2、疏通工具：联合疏通车</t>
  </si>
  <si>
    <t>污水管道疏通养护(1500管道)</t>
  </si>
  <si>
    <t>1、规格：污水管道疏通DN1500
2、疏通工具：联合疏通车</t>
  </si>
  <si>
    <t>排水渠清理疏通</t>
  </si>
  <si>
    <t>1、规格：集水渠疏通截面4.5m2
2、疏通工具：联合疏通车</t>
  </si>
  <si>
    <t>污水检查井井上清疏，井深2m</t>
  </si>
  <si>
    <t>污水检查井井上清疏，井深2m-3m</t>
  </si>
  <si>
    <t>污水检查井井上清疏，井深3m外</t>
  </si>
  <si>
    <t>污水检查井井下清疏，按潜水员清淤（断水）考虑，淤泥暂按30cm考虑</t>
  </si>
  <si>
    <t xml:space="preserve">高新区文昌东路以北2026年市政养护服务-出水口维修养护   </t>
  </si>
  <si>
    <t>备注</t>
  </si>
  <si>
    <t>1、出水口疏通清淤，清杂</t>
  </si>
  <si>
    <t>个</t>
  </si>
  <si>
    <t>高新区文昌东路以北2026年市政养护服务-管道检测</t>
  </si>
  <si>
    <t xml:space="preserve"> 1、管道CCTV检测φ600以内，含机器人检测、摄像、录像、缺陷判读、电子版报告等</t>
  </si>
  <si>
    <t xml:space="preserve"> 1、管道CCTV检测φ600-φ1200，含机器人检测、摄像、录像、缺陷判读、电子版报告等</t>
  </si>
  <si>
    <t xml:space="preserve"> 1、管道CCTV检测φ1200以外，含机器人检测、摄像、录像、缺陷判读、电子版报告等</t>
  </si>
  <si>
    <t>高新区文昌东路以北2026年市政养护服务-淤泥清运处置</t>
  </si>
  <si>
    <t>淤泥清运费</t>
  </si>
  <si>
    <t>淤泥外运，地点自行考虑，运距15km以内</t>
  </si>
  <si>
    <t>m3</t>
  </si>
  <si>
    <t>淤泥外运，地点自行考虑，运距15km以外</t>
  </si>
  <si>
    <t>淤泥处置</t>
  </si>
  <si>
    <t>1、临时堆放点晾晒后运至处置地点；          2、淤泥处置</t>
  </si>
  <si>
    <t xml:space="preserve">高新区文昌东路以北2026年市政养护服务-桥梁维修养护   </t>
  </si>
  <si>
    <t xml:space="preserve"> 一、桥栏杆部分</t>
  </si>
  <si>
    <t>栏杆</t>
  </si>
  <si>
    <t>1、花岗岩栏杆维修更换</t>
  </si>
  <si>
    <t>1、不锈钢栏杆维修更换</t>
  </si>
  <si>
    <t>1、砼栏杆维修更换</t>
  </si>
  <si>
    <t>1、铁制钢管栏杆维修更换</t>
  </si>
  <si>
    <t>油漆</t>
  </si>
  <si>
    <t>1、材料品种：乳胶漆两遍 混凝土栏杆
2、要求：每年2次</t>
  </si>
  <si>
    <t>1、材料品种：防腐除锈刷面漆  金属栏杆</t>
  </si>
  <si>
    <t xml:space="preserve"> 二、人行道部分</t>
  </si>
  <si>
    <t>1、花岗岩人行道维修</t>
  </si>
  <si>
    <t>1、拆除原有人行道板，人工装车外运5km，恢复花岗岩人行道板</t>
  </si>
  <si>
    <t>2、步道砖人行道维修</t>
  </si>
  <si>
    <t>1、拆除原有人行道板，人工装车外运5km，恢复步道砖人行道板</t>
  </si>
  <si>
    <t>3、砼人行道维修</t>
  </si>
  <si>
    <t>1、拆除原有人行道板，人工装车外运5km，恢复15cmC30商品混凝土面层</t>
  </si>
  <si>
    <t xml:space="preserve"> 三、桥面部分</t>
  </si>
  <si>
    <t>1、沥青桥面</t>
  </si>
  <si>
    <t>1、拆除原有沥青混凝土面层，人工装车外运5km，摊铺6cm细粒式沥青混凝土</t>
  </si>
  <si>
    <t xml:space="preserve"> 四、胀缝部分</t>
  </si>
  <si>
    <t>胀缝清理</t>
  </si>
  <si>
    <t>1、材料品种、规格：胀缝清理</t>
  </si>
  <si>
    <t>1、类别：胀缝更换
2、材料品种、规格：梳型钢板伸缩缝</t>
  </si>
  <si>
    <t>五、桥台及桥下清理</t>
  </si>
  <si>
    <t>桥台及桥下日常定期清理</t>
  </si>
  <si>
    <t>1、桥台及桥下日常定期清理
2、检查次数：按24次计算</t>
  </si>
  <si>
    <t xml:space="preserve"> 六、裂缝及露筋处理</t>
  </si>
  <si>
    <t>桥梁板柱裂缝及露筋环氧厚浆处理</t>
  </si>
  <si>
    <t>1、桥梁板柱裂缝及露筋环氧厚浆处理</t>
  </si>
  <si>
    <t>高新区文昌东路以北2026年市政养护服务-零星维修及应急处置</t>
  </si>
  <si>
    <t xml:space="preserve"> 一、零星维修及应急处置</t>
  </si>
  <si>
    <t>围墙刷白</t>
  </si>
  <si>
    <t>1、围墙面清杂、清理、刷乳胶漆，含辅助脚手架</t>
  </si>
  <si>
    <t>消火栓更换</t>
  </si>
  <si>
    <t>1、地上消火栓检查、清杂，更换损坏的消火栓DN150，含接口配件</t>
  </si>
  <si>
    <t>套</t>
  </si>
  <si>
    <t>消火栓维护</t>
  </si>
  <si>
    <t>1、地上消防栓检查，清杂、试水</t>
  </si>
  <si>
    <t>泵站维护</t>
  </si>
  <si>
    <t>1、泵站日常维护，对机电设备，水工建筑、配电装置等配套设施进行巡检、清洁、检查校准，疏通、清淤、设备润滑除锈</t>
  </si>
  <si>
    <t>雨季排水</t>
  </si>
  <si>
    <t>1、排水设施DN100潜水泵抽水，含排水连接管30m</t>
  </si>
  <si>
    <t>台班</t>
  </si>
  <si>
    <t>管道气囊封堵</t>
  </si>
  <si>
    <t>1、管道气囊封堵 φ400以内</t>
  </si>
  <si>
    <t>1、管道气囊封堵 φ600以内</t>
  </si>
  <si>
    <t>1、管道气囊封堵 φ1000以内</t>
  </si>
  <si>
    <t>1、管道气囊封堵 φ1000以外</t>
  </si>
  <si>
    <t>应急吸污</t>
  </si>
  <si>
    <t>1、应急吸污泥 2、使用联合吸污车</t>
  </si>
  <si>
    <t>路面除雪</t>
  </si>
  <si>
    <t>1、人工撒布环保融雪盐除雪 2、投标人需综合考虑夜间、应急、大雪等情况</t>
  </si>
  <si>
    <t>12</t>
  </si>
  <si>
    <t>日常巡视检查</t>
  </si>
  <si>
    <t>1、日常巡视检查，计量、记录并上报设施道路、排水管道破损状况 2、巡查频率每周一次    3、含人工、车辆、零星器具等检查工具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</si>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</sst>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.5"/>
      <color indexed="8"/>
      <name val="宋体"/>
      <charset val="134"/>
    </font>
    <font>
      <b/>
      <sz val="10.5"/>
      <color indexed="8"/>
      <name val="宋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ill="0" applyBorder="0" applyAlignment="0" applyProtection="0"/>
    <xf numFmtId="44" fontId="12" fillId="0" borderId="0" applyFill="0" applyBorder="0" applyAlignment="0" applyProtection="0"/>
    <xf numFmtId="9" fontId="12" fillId="0" borderId="0" applyFill="0" applyBorder="0" applyAlignment="0" applyProtection="0"/>
    <xf numFmtId="41" fontId="12" fillId="0" borderId="0" applyFill="0" applyBorder="0" applyAlignment="0" applyProtection="0"/>
    <xf numFmtId="42" fontId="12" fillId="0" borderId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 readingOrder="1"/>
    </xf>
    <xf numFmtId="0" fontId="3" fillId="0" borderId="1" xfId="0" applyNumberFormat="1" applyFont="1" applyFill="1" applyBorder="1" applyAlignment="1" applyProtection="1">
      <alignment horizontal="left" vertical="center" wrapText="1" readingOrder="1"/>
    </xf>
    <xf numFmtId="0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 readingOrder="1"/>
    </xf>
    <xf numFmtId="0" fontId="3" fillId="0" borderId="2" xfId="0" applyNumberFormat="1" applyFont="1" applyFill="1" applyBorder="1" applyAlignment="1" applyProtection="1">
      <alignment horizontal="left" vertical="center" wrapText="1" readingOrder="1"/>
    </xf>
    <xf numFmtId="0" fontId="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 readingOrder="1"/>
    </xf>
    <xf numFmtId="176" fontId="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right" vertical="center" wrapText="1" readingOrder="1"/>
    </xf>
    <xf numFmtId="0" fontId="3" fillId="0" borderId="1" xfId="0" applyNumberFormat="1" applyFont="1" applyFill="1" applyBorder="1" applyAlignment="1" applyProtection="1">
      <alignment horizontal="right" vertical="center" wrapText="1" readingOrder="1"/>
    </xf>
    <xf numFmtId="0" fontId="3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6" fontId="3" fillId="0" borderId="1" xfId="0" applyNumberFormat="1" applyFont="1" applyFill="1" applyBorder="1" applyAlignment="1" applyProtection="1">
      <alignment horizontal="right" vertical="center" wrapText="1" readingOrder="1"/>
    </xf>
    <xf numFmtId="2" fontId="3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6" fontId="4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0" xfId="0" applyNumberFormat="1" applyFont="1" applyFill="1" applyBorder="1" applyAlignment="1" applyProtection="1">
      <alignment horizontal="right" vertical="top" wrapText="1" readingOrder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 shrinkToFit="1"/>
    </xf>
    <xf numFmtId="176" fontId="3" fillId="0" borderId="2" xfId="0" applyNumberFormat="1" applyFont="1" applyFill="1" applyBorder="1" applyAlignment="1" applyProtection="1">
      <alignment horizontal="center" vertical="center" wrapText="1" readingOrder="1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9" fillId="0" borderId="0" xfId="0" applyNumberFormat="1" applyFont="1" applyFill="1" applyAlignment="1" applyProtection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 applyProtection="1">
      <alignment horizontal="center" vertical="center" wrapText="1" readingOrder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7" fontId="3" fillId="2" borderId="1" xfId="0" applyNumberFormat="1" applyFont="1" applyFill="1" applyBorder="1" applyAlignment="1" applyProtection="1">
      <alignment horizontal="center" vertical="center" wrapText="1" readingOrder="1"/>
    </xf>
    <xf numFmtId="177" fontId="3" fillId="0" borderId="1" xfId="0" applyNumberFormat="1" applyFont="1" applyFill="1" applyBorder="1" applyAlignment="1" applyProtection="1">
      <alignment horizontal="center" vertical="center" wrapText="1" readingOrder="1"/>
    </xf>
    <xf numFmtId="0" fontId="3" fillId="3" borderId="1" xfId="0" applyNumberFormat="1" applyFont="1" applyFill="1" applyBorder="1" applyAlignment="1" applyProtection="1">
      <alignment horizontal="center" vertical="center" wrapText="1" readingOrder="1"/>
    </xf>
    <xf numFmtId="17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0" xfId="0" applyNumberFormat="1" applyFont="1" applyFill="1" applyAlignment="1" applyProtection="1">
      <alignment horizontal="center" vertical="center" readingOrder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 shrinkToFit="1"/>
    </xf>
    <xf numFmtId="176" fontId="2" fillId="0" borderId="2" xfId="0" applyNumberFormat="1" applyFont="1" applyBorder="1" applyAlignment="1">
      <alignment horizontal="center" vertical="center" wrapText="1" shrinkToFit="1"/>
    </xf>
    <xf numFmtId="176" fontId="3" fillId="2" borderId="2" xfId="0" applyNumberFormat="1" applyFont="1" applyFill="1" applyBorder="1" applyAlignment="1" applyProtection="1">
      <alignment horizontal="center" vertical="center" wrapText="1" readingOrder="1"/>
    </xf>
    <xf numFmtId="0" fontId="3" fillId="0" borderId="2" xfId="0" applyNumberFormat="1" applyFont="1" applyFill="1" applyBorder="1" applyAlignment="1" applyProtection="1">
      <alignment horizontal="right" vertical="center" wrapText="1" readingOrder="1"/>
    </xf>
    <xf numFmtId="2" fontId="3" fillId="0" borderId="2" xfId="0" applyNumberFormat="1" applyFont="1" applyFill="1" applyBorder="1" applyAlignment="1" applyProtection="1">
      <alignment horizontal="right" vertical="center" wrapText="1" readingOrder="1"/>
    </xf>
    <xf numFmtId="177" fontId="3" fillId="2" borderId="2" xfId="0" applyNumberFormat="1" applyFont="1" applyFill="1" applyBorder="1" applyAlignment="1" applyProtection="1">
      <alignment horizontal="center" vertical="center" wrapText="1" readingOrder="1"/>
    </xf>
    <xf numFmtId="176" fontId="4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176" fontId="3" fillId="0" borderId="2" xfId="0" applyNumberFormat="1" applyFont="1" applyFill="1" applyBorder="1" applyAlignment="1" applyProtection="1">
      <alignment horizontal="right" vertical="center" wrapText="1" readingOrder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shrinkToFit="1"/>
    </xf>
    <xf numFmtId="9" fontId="2" fillId="0" borderId="2" xfId="0" applyNumberFormat="1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 shrinkToFit="1"/>
    </xf>
    <xf numFmtId="176" fontId="2" fillId="2" borderId="4" xfId="0" applyNumberFormat="1" applyFont="1" applyFill="1" applyBorder="1" applyAlignment="1" applyProtection="1">
      <alignment horizontal="center" vertical="center" shrinkToFit="1"/>
    </xf>
    <xf numFmtId="10" fontId="2" fillId="0" borderId="2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176" fontId="2" fillId="2" borderId="5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5" xfId="0" applyNumberFormat="1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vertical="center" wrapText="1"/>
    </xf>
    <xf numFmtId="176" fontId="2" fillId="0" borderId="4" xfId="0" applyNumberFormat="1" applyFont="1" applyBorder="1" applyAlignment="1" applyProtection="1">
      <alignment horizontal="center" vertical="center" shrinkToFit="1"/>
    </xf>
    <xf numFmtId="176" fontId="2" fillId="0" borderId="6" xfId="0" applyNumberFormat="1" applyFont="1" applyBorder="1" applyAlignment="1" applyProtection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5" xfId="0" applyBorder="1" applyProtection="1">
      <alignment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176" fontId="0" fillId="0" borderId="5" xfId="0" applyNumberFormat="1" applyBorder="1" applyProtection="1">
      <alignment vertical="center"/>
      <protection locked="0"/>
    </xf>
    <xf numFmtId="0" fontId="10" fillId="0" borderId="11" xfId="0" applyFont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76" fontId="0" fillId="0" borderId="6" xfId="0" applyNumberFormat="1" applyBorder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176" fontId="1" fillId="0" borderId="6" xfId="0" applyNumberFormat="1" applyFont="1" applyBorder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7E6E6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Zeros="0" workbookViewId="0">
      <selection activeCell="H6" sqref="H6"/>
    </sheetView>
  </sheetViews>
  <sheetFormatPr defaultColWidth="8.96666666666667" defaultRowHeight="15" outlineLevelCol="3"/>
  <cols>
    <col min="1" max="1" width="7.08333333333333" style="20"/>
    <col min="2" max="2" width="25.9166666666667" style="92" customWidth="1"/>
    <col min="3" max="3" width="32.75" style="92" customWidth="1"/>
    <col min="4" max="4" width="14.125"/>
    <col min="5" max="6" width="12.6916666666667"/>
    <col min="7" max="7" width="10.6"/>
    <col min="8" max="8" width="13.8333333333333"/>
    <col min="9" max="11" width="10.6"/>
    <col min="12" max="12" width="12.6666666666667"/>
    <col min="13" max="252" width="10.6"/>
  </cols>
  <sheetData>
    <row r="1" ht="39" customHeight="1" spans="1:4">
      <c r="A1" s="32" t="s">
        <v>0</v>
      </c>
      <c r="B1" s="32"/>
      <c r="C1" s="32"/>
      <c r="D1" s="32"/>
    </row>
    <row r="2" ht="32" customHeight="1" spans="1:4">
      <c r="A2" s="93" t="s">
        <v>1</v>
      </c>
      <c r="B2" s="94" t="s">
        <v>2</v>
      </c>
      <c r="C2" s="95" t="s">
        <v>3</v>
      </c>
      <c r="D2" s="96" t="s">
        <v>4</v>
      </c>
    </row>
    <row r="3" ht="32" customHeight="1" spans="1:4">
      <c r="A3" s="97" t="s">
        <v>5</v>
      </c>
      <c r="B3" s="98" t="s">
        <v>6</v>
      </c>
      <c r="C3" s="99"/>
      <c r="D3" s="100"/>
    </row>
    <row r="4" ht="79" customHeight="1" spans="1:4">
      <c r="A4" s="101">
        <v>1</v>
      </c>
      <c r="B4" s="102" t="s">
        <v>7</v>
      </c>
      <c r="C4" s="103" t="s">
        <v>8</v>
      </c>
      <c r="D4" s="104">
        <f>道路!I30</f>
        <v>0</v>
      </c>
    </row>
    <row r="5" ht="32" customHeight="1" spans="1:4">
      <c r="A5" s="101">
        <v>2</v>
      </c>
      <c r="B5" s="102" t="s">
        <v>9</v>
      </c>
      <c r="C5" s="103" t="s">
        <v>10</v>
      </c>
      <c r="D5" s="104">
        <f>雨水管道疏通!H14</f>
        <v>0</v>
      </c>
    </row>
    <row r="6" ht="32" customHeight="1" spans="1:4">
      <c r="A6" s="101">
        <v>3</v>
      </c>
      <c r="B6" s="102" t="s">
        <v>11</v>
      </c>
      <c r="C6" s="103" t="s">
        <v>12</v>
      </c>
      <c r="D6" s="104">
        <f>污水管道疏通!H14</f>
        <v>0</v>
      </c>
    </row>
    <row r="7" ht="32" customHeight="1" spans="1:4">
      <c r="A7" s="101">
        <v>4</v>
      </c>
      <c r="B7" s="102" t="s">
        <v>13</v>
      </c>
      <c r="C7" s="103" t="s">
        <v>14</v>
      </c>
      <c r="D7" s="104">
        <f>出水口维修!K5</f>
        <v>0</v>
      </c>
    </row>
    <row r="8" ht="32" customHeight="1" spans="1:4">
      <c r="A8" s="101">
        <v>5</v>
      </c>
      <c r="B8" s="102" t="s">
        <v>15</v>
      </c>
      <c r="C8" s="103" t="s">
        <v>16</v>
      </c>
      <c r="D8" s="104">
        <f>管道检测!G6</f>
        <v>0</v>
      </c>
    </row>
    <row r="9" ht="32" customHeight="1" spans="1:4">
      <c r="A9" s="101">
        <v>6</v>
      </c>
      <c r="B9" s="102" t="s">
        <v>17</v>
      </c>
      <c r="C9" s="103" t="s">
        <v>18</v>
      </c>
      <c r="D9" s="104">
        <f>淤泥!G6</f>
        <v>0</v>
      </c>
    </row>
    <row r="10" ht="32" customHeight="1" spans="1:4">
      <c r="A10" s="101">
        <v>7</v>
      </c>
      <c r="B10" s="102" t="s">
        <v>19</v>
      </c>
      <c r="C10" s="103" t="s">
        <v>20</v>
      </c>
      <c r="D10" s="104">
        <f>桥梁养护!H23</f>
        <v>0</v>
      </c>
    </row>
    <row r="11" ht="65" customHeight="1" spans="1:4">
      <c r="A11" s="101">
        <v>8</v>
      </c>
      <c r="B11" s="105" t="s">
        <v>21</v>
      </c>
      <c r="C11" s="106" t="s">
        <v>22</v>
      </c>
      <c r="D11" s="104">
        <f>零星维修及应急处置!G17</f>
        <v>0</v>
      </c>
    </row>
    <row r="12" ht="27" customHeight="1" spans="1:4">
      <c r="A12" s="107"/>
      <c r="B12" s="108"/>
      <c r="C12" s="109"/>
      <c r="D12" s="110"/>
    </row>
    <row r="13" ht="32" customHeight="1" spans="1:4">
      <c r="A13" s="111" t="s">
        <v>23</v>
      </c>
      <c r="B13" s="112" t="s">
        <v>24</v>
      </c>
      <c r="C13" s="113" t="s">
        <v>25</v>
      </c>
      <c r="D13" s="114"/>
    </row>
    <row r="14" ht="23" customHeight="1" spans="1:4">
      <c r="A14" s="115"/>
      <c r="B14" s="115"/>
      <c r="C14" s="115"/>
      <c r="D14" s="115"/>
    </row>
    <row r="15" ht="35" customHeight="1" spans="1:4">
      <c r="A15" s="116"/>
      <c r="B15" s="116"/>
      <c r="C15" s="116"/>
      <c r="D15" s="116"/>
    </row>
  </sheetData>
  <sheetProtection algorithmName="SHA-512" hashValue="2mpSWn9UnUG233yIlm0vyzCTeQGjid6OlGLd6Srsgxp5RYZjehvElcvnLcYkGa4p+jcwHgFqjHnJmR/ggMrETA==" saltValue="D3eu2esv4mREdTBFmxcf3Q==" spinCount="100000" sheet="1" objects="1"/>
  <mergeCells count="3">
    <mergeCell ref="A1:D1"/>
    <mergeCell ref="A14:D14"/>
    <mergeCell ref="A15:D15"/>
  </mergeCells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Zeros="0" workbookViewId="0">
      <pane ySplit="2" topLeftCell="A4" activePane="bottomLeft" state="frozen"/>
      <selection/>
      <selection pane="bottomLeft" activeCell="D14" sqref="D14"/>
    </sheetView>
  </sheetViews>
  <sheetFormatPr defaultColWidth="8.96666666666667" defaultRowHeight="15"/>
  <cols>
    <col min="1" max="1" width="5.81666666666667" style="20"/>
    <col min="2" max="2" width="21" style="30"/>
    <col min="3" max="3" width="38.0666666666667" style="20"/>
    <col min="4" max="4" width="4.61666666666667" style="20"/>
    <col min="5" max="6" width="11.2583333333333" style="20" hidden="1" customWidth="1"/>
    <col min="7" max="7" width="11.2583333333333" style="20" customWidth="1"/>
    <col min="8" max="8" width="10.3166666666667" style="30"/>
    <col min="9" max="9" width="10.3166666666667" style="31"/>
    <col min="10" max="244" width="10.6"/>
  </cols>
  <sheetData>
    <row r="1" ht="35" customHeight="1" spans="1:9">
      <c r="A1" s="32" t="s">
        <v>26</v>
      </c>
      <c r="B1" s="32"/>
      <c r="C1" s="32"/>
      <c r="D1" s="32"/>
      <c r="E1" s="32"/>
      <c r="F1" s="32"/>
      <c r="G1" s="32"/>
      <c r="H1" s="32"/>
      <c r="I1" s="32"/>
    </row>
    <row r="2" s="20" customFormat="1" ht="28.35" customHeight="1" spans="1:9">
      <c r="A2" s="5" t="s">
        <v>1</v>
      </c>
      <c r="B2" s="5" t="s">
        <v>27</v>
      </c>
      <c r="C2" s="5" t="s">
        <v>28</v>
      </c>
      <c r="D2" s="5" t="s">
        <v>29</v>
      </c>
      <c r="E2" s="5" t="s">
        <v>30</v>
      </c>
      <c r="F2" s="5" t="s">
        <v>31</v>
      </c>
      <c r="G2" s="5" t="s">
        <v>30</v>
      </c>
      <c r="H2" s="5" t="s">
        <v>32</v>
      </c>
      <c r="I2" s="7" t="s">
        <v>33</v>
      </c>
    </row>
    <row r="3" ht="76" customHeight="1" spans="1:9">
      <c r="A3" s="33">
        <v>1</v>
      </c>
      <c r="B3" s="73" t="s">
        <v>34</v>
      </c>
      <c r="C3" s="73" t="s">
        <v>35</v>
      </c>
      <c r="D3" s="74" t="s">
        <v>36</v>
      </c>
      <c r="E3" s="75">
        <v>7650</v>
      </c>
      <c r="F3" s="76">
        <v>0.05</v>
      </c>
      <c r="G3" s="77">
        <f>F3*E3</f>
        <v>382.5</v>
      </c>
      <c r="H3" s="36">
        <v>0</v>
      </c>
      <c r="I3" s="36">
        <f>ROUND(G3*H3,2)</f>
        <v>0</v>
      </c>
    </row>
    <row r="4" ht="71" customHeight="1" spans="1:9">
      <c r="A4" s="33">
        <v>2</v>
      </c>
      <c r="B4" s="73" t="s">
        <v>37</v>
      </c>
      <c r="C4" s="73" t="s">
        <v>38</v>
      </c>
      <c r="D4" s="74" t="s">
        <v>36</v>
      </c>
      <c r="E4" s="75">
        <v>400</v>
      </c>
      <c r="F4" s="76">
        <v>0.05</v>
      </c>
      <c r="G4" s="77">
        <f t="shared" ref="G3:G20" si="0">F4*E4</f>
        <v>20</v>
      </c>
      <c r="H4" s="36">
        <v>0</v>
      </c>
      <c r="I4" s="36">
        <f>ROUND(G4*H4,2)</f>
        <v>0</v>
      </c>
    </row>
    <row r="5" ht="72" customHeight="1" spans="1:9">
      <c r="A5" s="33">
        <v>3</v>
      </c>
      <c r="B5" s="73" t="s">
        <v>39</v>
      </c>
      <c r="C5" s="73" t="s">
        <v>40</v>
      </c>
      <c r="D5" s="74" t="s">
        <v>36</v>
      </c>
      <c r="E5" s="75">
        <v>53970</v>
      </c>
      <c r="F5" s="76">
        <v>0.05</v>
      </c>
      <c r="G5" s="77">
        <f t="shared" si="0"/>
        <v>2698.5</v>
      </c>
      <c r="H5" s="36"/>
      <c r="I5" s="36">
        <f>ROUND(G5*H5,2)</f>
        <v>0</v>
      </c>
    </row>
    <row r="6" ht="74" customHeight="1" spans="1:9">
      <c r="A6" s="33">
        <v>4</v>
      </c>
      <c r="B6" s="73" t="s">
        <v>41</v>
      </c>
      <c r="C6" s="73" t="s">
        <v>42</v>
      </c>
      <c r="D6" s="74" t="s">
        <v>36</v>
      </c>
      <c r="E6" s="75">
        <v>10800</v>
      </c>
      <c r="F6" s="76">
        <v>0.05</v>
      </c>
      <c r="G6" s="77">
        <f t="shared" si="0"/>
        <v>540</v>
      </c>
      <c r="H6" s="36"/>
      <c r="I6" s="36">
        <f t="shared" ref="I6:I29" si="1">ROUND(G6*H6,2)</f>
        <v>0</v>
      </c>
    </row>
    <row r="7" ht="74" customHeight="1" spans="1:9">
      <c r="A7" s="33">
        <v>5</v>
      </c>
      <c r="B7" s="73" t="s">
        <v>43</v>
      </c>
      <c r="C7" s="73" t="s">
        <v>44</v>
      </c>
      <c r="D7" s="74" t="s">
        <v>36</v>
      </c>
      <c r="E7" s="78">
        <v>15840</v>
      </c>
      <c r="F7" s="79">
        <v>0.005</v>
      </c>
      <c r="G7" s="77">
        <f t="shared" si="0"/>
        <v>79.2</v>
      </c>
      <c r="H7" s="36"/>
      <c r="I7" s="36">
        <f t="shared" si="1"/>
        <v>0</v>
      </c>
    </row>
    <row r="8" ht="74" customHeight="1" spans="1:9">
      <c r="A8" s="33">
        <v>6</v>
      </c>
      <c r="B8" s="73" t="s">
        <v>45</v>
      </c>
      <c r="C8" s="73" t="s">
        <v>46</v>
      </c>
      <c r="D8" s="74" t="s">
        <v>36</v>
      </c>
      <c r="E8" s="78">
        <v>600</v>
      </c>
      <c r="F8" s="79">
        <v>0.005</v>
      </c>
      <c r="G8" s="77">
        <f t="shared" si="0"/>
        <v>3</v>
      </c>
      <c r="H8" s="36"/>
      <c r="I8" s="36">
        <f t="shared" si="1"/>
        <v>0</v>
      </c>
    </row>
    <row r="9" ht="74" customHeight="1" spans="1:9">
      <c r="A9" s="33">
        <v>7</v>
      </c>
      <c r="B9" s="73" t="s">
        <v>47</v>
      </c>
      <c r="C9" s="73" t="s">
        <v>48</v>
      </c>
      <c r="D9" s="74" t="s">
        <v>36</v>
      </c>
      <c r="E9" s="78">
        <f>2700*0.3*2</f>
        <v>1620</v>
      </c>
      <c r="F9" s="79">
        <v>0.005</v>
      </c>
      <c r="G9" s="77">
        <f t="shared" si="0"/>
        <v>8.1</v>
      </c>
      <c r="H9" s="36"/>
      <c r="I9" s="36">
        <f t="shared" si="1"/>
        <v>0</v>
      </c>
    </row>
    <row r="10" ht="74" customHeight="1" spans="1:9">
      <c r="A10" s="33">
        <v>8</v>
      </c>
      <c r="B10" s="73" t="s">
        <v>49</v>
      </c>
      <c r="C10" s="73" t="s">
        <v>50</v>
      </c>
      <c r="D10" s="74" t="s">
        <v>36</v>
      </c>
      <c r="E10" s="78">
        <v>500</v>
      </c>
      <c r="F10" s="79">
        <v>0.005</v>
      </c>
      <c r="G10" s="77">
        <f t="shared" si="0"/>
        <v>2.5</v>
      </c>
      <c r="H10" s="36"/>
      <c r="I10" s="36">
        <f t="shared" si="1"/>
        <v>0</v>
      </c>
    </row>
    <row r="11" ht="74" customHeight="1" spans="1:9">
      <c r="A11" s="33">
        <v>9</v>
      </c>
      <c r="B11" s="73" t="s">
        <v>51</v>
      </c>
      <c r="C11" s="73" t="s">
        <v>52</v>
      </c>
      <c r="D11" s="80" t="s">
        <v>36</v>
      </c>
      <c r="E11" s="81">
        <v>103600</v>
      </c>
      <c r="F11" s="79">
        <v>0.005</v>
      </c>
      <c r="G11" s="77">
        <f t="shared" si="0"/>
        <v>518</v>
      </c>
      <c r="H11" s="36"/>
      <c r="I11" s="36">
        <f t="shared" si="1"/>
        <v>0</v>
      </c>
    </row>
    <row r="12" ht="74" customHeight="1" spans="1:9">
      <c r="A12" s="33">
        <v>10</v>
      </c>
      <c r="B12" s="73" t="s">
        <v>53</v>
      </c>
      <c r="C12" s="73" t="s">
        <v>54</v>
      </c>
      <c r="D12" s="80" t="s">
        <v>36</v>
      </c>
      <c r="E12" s="81">
        <f>E11</f>
        <v>103600</v>
      </c>
      <c r="F12" s="79">
        <v>0.005</v>
      </c>
      <c r="G12" s="77">
        <f t="shared" si="0"/>
        <v>518</v>
      </c>
      <c r="H12" s="36"/>
      <c r="I12" s="36">
        <f t="shared" si="1"/>
        <v>0</v>
      </c>
    </row>
    <row r="13" ht="74" customHeight="1" spans="1:9">
      <c r="A13" s="33">
        <v>11</v>
      </c>
      <c r="B13" s="73" t="s">
        <v>55</v>
      </c>
      <c r="C13" s="73" t="s">
        <v>56</v>
      </c>
      <c r="D13" s="80" t="s">
        <v>36</v>
      </c>
      <c r="E13" s="81">
        <f>E12</f>
        <v>103600</v>
      </c>
      <c r="F13" s="79">
        <v>0.005</v>
      </c>
      <c r="G13" s="77">
        <f t="shared" si="0"/>
        <v>518</v>
      </c>
      <c r="H13" s="36"/>
      <c r="I13" s="36">
        <f t="shared" si="1"/>
        <v>0</v>
      </c>
    </row>
    <row r="14" ht="74" customHeight="1" spans="1:9">
      <c r="A14" s="33">
        <v>12</v>
      </c>
      <c r="B14" s="73" t="s">
        <v>57</v>
      </c>
      <c r="C14" s="73" t="s">
        <v>58</v>
      </c>
      <c r="D14" s="80" t="s">
        <v>36</v>
      </c>
      <c r="E14" s="81">
        <f t="shared" ref="E12:E14" si="2">E13</f>
        <v>103600</v>
      </c>
      <c r="F14" s="79">
        <v>0.005</v>
      </c>
      <c r="G14" s="77">
        <f t="shared" si="0"/>
        <v>518</v>
      </c>
      <c r="H14" s="36"/>
      <c r="I14" s="36">
        <f t="shared" si="1"/>
        <v>0</v>
      </c>
    </row>
    <row r="15" ht="74" customHeight="1" spans="1:9">
      <c r="A15" s="33">
        <v>13</v>
      </c>
      <c r="B15" s="82" t="s">
        <v>59</v>
      </c>
      <c r="C15" s="83" t="s">
        <v>60</v>
      </c>
      <c r="D15" s="84" t="s">
        <v>36</v>
      </c>
      <c r="E15" s="85">
        <v>309900</v>
      </c>
      <c r="F15" s="79">
        <v>0.005</v>
      </c>
      <c r="G15" s="77">
        <f t="shared" si="0"/>
        <v>1549.5</v>
      </c>
      <c r="H15" s="36"/>
      <c r="I15" s="36">
        <f t="shared" si="1"/>
        <v>0</v>
      </c>
    </row>
    <row r="16" ht="74" customHeight="1" spans="1:9">
      <c r="A16" s="33">
        <v>14</v>
      </c>
      <c r="B16" s="86" t="s">
        <v>61</v>
      </c>
      <c r="C16" s="73" t="s">
        <v>62</v>
      </c>
      <c r="D16" s="80" t="s">
        <v>36</v>
      </c>
      <c r="E16" s="85">
        <v>79600</v>
      </c>
      <c r="F16" s="79">
        <v>0.005</v>
      </c>
      <c r="G16" s="77">
        <f t="shared" si="0"/>
        <v>398</v>
      </c>
      <c r="H16" s="36"/>
      <c r="I16" s="36">
        <f t="shared" si="1"/>
        <v>0</v>
      </c>
    </row>
    <row r="17" ht="74" customHeight="1" spans="1:9">
      <c r="A17" s="33">
        <v>15</v>
      </c>
      <c r="B17" s="86" t="s">
        <v>63</v>
      </c>
      <c r="C17" s="73" t="s">
        <v>64</v>
      </c>
      <c r="D17" s="80" t="s">
        <v>36</v>
      </c>
      <c r="E17" s="85">
        <v>220</v>
      </c>
      <c r="F17" s="87">
        <v>1</v>
      </c>
      <c r="G17" s="77">
        <f t="shared" si="0"/>
        <v>220</v>
      </c>
      <c r="H17" s="36"/>
      <c r="I17" s="36">
        <f t="shared" si="1"/>
        <v>0</v>
      </c>
    </row>
    <row r="18" ht="74" customHeight="1" spans="1:9">
      <c r="A18" s="33">
        <v>16</v>
      </c>
      <c r="B18" s="86" t="s">
        <v>65</v>
      </c>
      <c r="C18" s="73" t="s">
        <v>66</v>
      </c>
      <c r="D18" s="80" t="s">
        <v>36</v>
      </c>
      <c r="E18" s="85">
        <v>220</v>
      </c>
      <c r="F18" s="87">
        <v>1</v>
      </c>
      <c r="G18" s="77">
        <f t="shared" si="0"/>
        <v>220</v>
      </c>
      <c r="H18" s="36"/>
      <c r="I18" s="36">
        <f t="shared" si="1"/>
        <v>0</v>
      </c>
    </row>
    <row r="19" ht="74" customHeight="1" spans="1:9">
      <c r="A19" s="33">
        <v>17</v>
      </c>
      <c r="B19" s="86" t="s">
        <v>67</v>
      </c>
      <c r="C19" s="73" t="s">
        <v>68</v>
      </c>
      <c r="D19" s="80" t="s">
        <v>36</v>
      </c>
      <c r="E19" s="85">
        <v>220</v>
      </c>
      <c r="F19" s="87">
        <v>1</v>
      </c>
      <c r="G19" s="77">
        <f t="shared" si="0"/>
        <v>220</v>
      </c>
      <c r="H19" s="36"/>
      <c r="I19" s="36">
        <f t="shared" si="1"/>
        <v>0</v>
      </c>
    </row>
    <row r="20" ht="74" customHeight="1" spans="1:9">
      <c r="A20" s="33">
        <v>18</v>
      </c>
      <c r="B20" s="86" t="s">
        <v>69</v>
      </c>
      <c r="C20" s="73" t="s">
        <v>70</v>
      </c>
      <c r="D20" s="80" t="s">
        <v>36</v>
      </c>
      <c r="E20" s="85">
        <v>220</v>
      </c>
      <c r="F20" s="87">
        <v>1</v>
      </c>
      <c r="G20" s="77">
        <f t="shared" si="0"/>
        <v>220</v>
      </c>
      <c r="H20" s="36"/>
      <c r="I20" s="36">
        <f t="shared" si="1"/>
        <v>0</v>
      </c>
    </row>
    <row r="21" ht="74" customHeight="1" spans="1:9">
      <c r="A21" s="33">
        <v>19</v>
      </c>
      <c r="B21" s="86" t="s">
        <v>71</v>
      </c>
      <c r="C21" s="73" t="s">
        <v>72</v>
      </c>
      <c r="D21" s="80" t="s">
        <v>73</v>
      </c>
      <c r="E21" s="85">
        <v>300</v>
      </c>
      <c r="F21" s="79">
        <v>0.05</v>
      </c>
      <c r="G21" s="77">
        <f>ROUND(E21*F21,0)</f>
        <v>15</v>
      </c>
      <c r="H21" s="36"/>
      <c r="I21" s="36">
        <f t="shared" si="1"/>
        <v>0</v>
      </c>
    </row>
    <row r="22" ht="74" customHeight="1" spans="1:9">
      <c r="A22" s="33">
        <v>20</v>
      </c>
      <c r="B22" s="86" t="s">
        <v>71</v>
      </c>
      <c r="C22" s="73" t="s">
        <v>74</v>
      </c>
      <c r="D22" s="80" t="s">
        <v>73</v>
      </c>
      <c r="E22" s="85">
        <v>400</v>
      </c>
      <c r="F22" s="79">
        <v>0.05</v>
      </c>
      <c r="G22" s="77">
        <f>ROUND(E22*F22,0)</f>
        <v>20</v>
      </c>
      <c r="H22" s="36"/>
      <c r="I22" s="36">
        <f t="shared" si="1"/>
        <v>0</v>
      </c>
    </row>
    <row r="23" ht="74" customHeight="1" spans="1:9">
      <c r="A23" s="33">
        <v>21</v>
      </c>
      <c r="B23" s="86" t="s">
        <v>75</v>
      </c>
      <c r="C23" s="73" t="s">
        <v>76</v>
      </c>
      <c r="D23" s="80" t="s">
        <v>73</v>
      </c>
      <c r="E23" s="85">
        <v>2300</v>
      </c>
      <c r="F23" s="79">
        <v>0.05</v>
      </c>
      <c r="G23" s="77">
        <f t="shared" ref="G23:G29" si="3">F23*E23</f>
        <v>115</v>
      </c>
      <c r="H23" s="36"/>
      <c r="I23" s="36">
        <f t="shared" si="1"/>
        <v>0</v>
      </c>
    </row>
    <row r="24" ht="74" customHeight="1" spans="1:9">
      <c r="A24" s="33">
        <v>22</v>
      </c>
      <c r="B24" s="86" t="s">
        <v>77</v>
      </c>
      <c r="C24" s="73" t="s">
        <v>78</v>
      </c>
      <c r="D24" s="80" t="s">
        <v>79</v>
      </c>
      <c r="E24" s="88">
        <f>69783+5400+2000</f>
        <v>77183</v>
      </c>
      <c r="F24" s="79">
        <v>0.005</v>
      </c>
      <c r="G24" s="77">
        <f t="shared" si="3"/>
        <v>385.915</v>
      </c>
      <c r="H24" s="36"/>
      <c r="I24" s="36">
        <f t="shared" si="1"/>
        <v>0</v>
      </c>
    </row>
    <row r="25" ht="74" customHeight="1" spans="1:9">
      <c r="A25" s="33">
        <v>23</v>
      </c>
      <c r="B25" s="86" t="s">
        <v>77</v>
      </c>
      <c r="C25" s="73" t="s">
        <v>80</v>
      </c>
      <c r="D25" s="80" t="s">
        <v>79</v>
      </c>
      <c r="E25" s="85">
        <f>69783+2000</f>
        <v>71783</v>
      </c>
      <c r="F25" s="79">
        <v>0.005</v>
      </c>
      <c r="G25" s="77">
        <f t="shared" si="3"/>
        <v>358.915</v>
      </c>
      <c r="H25" s="36"/>
      <c r="I25" s="36">
        <f t="shared" si="1"/>
        <v>0</v>
      </c>
    </row>
    <row r="26" ht="74" customHeight="1" spans="1:9">
      <c r="A26" s="33">
        <v>24</v>
      </c>
      <c r="B26" s="86" t="s">
        <v>81</v>
      </c>
      <c r="C26" s="73" t="s">
        <v>82</v>
      </c>
      <c r="D26" s="80" t="s">
        <v>79</v>
      </c>
      <c r="E26" s="85">
        <v>20</v>
      </c>
      <c r="F26" s="79">
        <v>1</v>
      </c>
      <c r="G26" s="77">
        <f t="shared" si="3"/>
        <v>20</v>
      </c>
      <c r="H26" s="36"/>
      <c r="I26" s="36">
        <f t="shared" si="1"/>
        <v>0</v>
      </c>
    </row>
    <row r="27" ht="74" customHeight="1" spans="1:9">
      <c r="A27" s="33">
        <v>25</v>
      </c>
      <c r="B27" s="86" t="s">
        <v>83</v>
      </c>
      <c r="C27" s="73" t="s">
        <v>84</v>
      </c>
      <c r="D27" s="80" t="s">
        <v>79</v>
      </c>
      <c r="E27" s="85">
        <f>39060+5400+2000</f>
        <v>46460</v>
      </c>
      <c r="F27" s="79">
        <v>0.005</v>
      </c>
      <c r="G27" s="77">
        <f t="shared" si="3"/>
        <v>232.3</v>
      </c>
      <c r="H27" s="36"/>
      <c r="I27" s="36">
        <f t="shared" si="1"/>
        <v>0</v>
      </c>
    </row>
    <row r="28" ht="74" customHeight="1" spans="1:9">
      <c r="A28" s="33">
        <v>26</v>
      </c>
      <c r="B28" s="86" t="s">
        <v>83</v>
      </c>
      <c r="C28" s="73" t="s">
        <v>85</v>
      </c>
      <c r="D28" s="80" t="s">
        <v>79</v>
      </c>
      <c r="E28" s="85">
        <f>39060+2000</f>
        <v>41060</v>
      </c>
      <c r="F28" s="79">
        <v>0.005</v>
      </c>
      <c r="G28" s="77">
        <f t="shared" si="3"/>
        <v>205.3</v>
      </c>
      <c r="H28" s="36"/>
      <c r="I28" s="36">
        <f t="shared" si="1"/>
        <v>0</v>
      </c>
    </row>
    <row r="29" ht="74" customHeight="1" spans="1:9">
      <c r="A29" s="33">
        <v>27</v>
      </c>
      <c r="B29" s="86" t="s">
        <v>86</v>
      </c>
      <c r="C29" s="73" t="s">
        <v>87</v>
      </c>
      <c r="D29" s="80" t="s">
        <v>79</v>
      </c>
      <c r="E29" s="77">
        <v>15000</v>
      </c>
      <c r="F29" s="77">
        <v>1</v>
      </c>
      <c r="G29" s="77">
        <v>12000</v>
      </c>
      <c r="H29" s="36"/>
      <c r="I29" s="36">
        <f t="shared" si="1"/>
        <v>0</v>
      </c>
    </row>
    <row r="30" ht="32" customHeight="1" spans="1:9">
      <c r="A30" s="89" t="s">
        <v>24</v>
      </c>
      <c r="B30" s="90"/>
      <c r="C30" s="90"/>
      <c r="D30" s="90"/>
      <c r="E30" s="90"/>
      <c r="F30" s="90"/>
      <c r="G30" s="90"/>
      <c r="H30" s="91"/>
      <c r="I30" s="39">
        <f>SUM(I3:I29)</f>
        <v>0</v>
      </c>
    </row>
    <row r="31" ht="23" customHeight="1" spans="1:9">
      <c r="A31" s="19" t="s">
        <v>88</v>
      </c>
      <c r="B31" s="19"/>
      <c r="C31" s="19"/>
      <c r="D31" s="19"/>
      <c r="E31" s="40"/>
      <c r="F31" s="40"/>
      <c r="G31" s="40"/>
      <c r="H31" s="19"/>
      <c r="I31" s="19"/>
    </row>
    <row r="32" ht="78" customHeight="1" spans="1:9">
      <c r="A32" s="41"/>
      <c r="B32" s="42"/>
      <c r="C32" s="41"/>
      <c r="D32" s="41"/>
      <c r="E32" s="41"/>
      <c r="F32" s="41"/>
      <c r="G32" s="41"/>
      <c r="H32" s="42"/>
      <c r="I32" s="43"/>
    </row>
    <row r="33" ht="78" customHeight="1" spans="1:9">
      <c r="A33" s="41"/>
      <c r="B33" s="42"/>
      <c r="C33" s="41"/>
      <c r="D33" s="41"/>
      <c r="E33" s="41"/>
      <c r="F33" s="41"/>
      <c r="G33" s="41"/>
      <c r="H33" s="42"/>
      <c r="I33" s="43"/>
    </row>
    <row r="34" spans="1:9">
      <c r="A34" s="41"/>
      <c r="B34" s="42"/>
      <c r="C34" s="41"/>
      <c r="D34" s="41"/>
      <c r="E34" s="41"/>
      <c r="F34" s="41"/>
      <c r="G34" s="41"/>
      <c r="H34" s="42"/>
      <c r="I34" s="43"/>
    </row>
    <row r="35" spans="1:9">
      <c r="A35" s="41"/>
      <c r="B35" s="42"/>
      <c r="C35" s="41"/>
      <c r="D35" s="41"/>
      <c r="E35" s="41"/>
      <c r="F35" s="41"/>
      <c r="G35" s="41"/>
      <c r="H35" s="42"/>
      <c r="I35" s="43"/>
    </row>
    <row r="36" spans="1:9">
      <c r="A36" s="41"/>
      <c r="B36" s="42"/>
      <c r="C36" s="41"/>
      <c r="D36" s="41"/>
      <c r="E36" s="41"/>
      <c r="F36" s="41"/>
      <c r="G36" s="41"/>
      <c r="H36" s="42"/>
      <c r="I36" s="43"/>
    </row>
  </sheetData>
  <sheetProtection algorithmName="SHA-512" hashValue="h77oq00nJUCQE6cWFmXi+fLnYVCiYJElmfwBp0C5q8yP9i0hQJ8maVWWs4HRjudHNEVGoDUT8EFd9GMjid9PPw==" saltValue="W0TU3FI1rGbtLT40bZhQ+g==" spinCount="100000" sheet="1" objects="1"/>
  <protectedRanges>
    <protectedRange password="C759" sqref="H3:I29" name="区域1"/>
  </protectedRanges>
  <mergeCells count="3">
    <mergeCell ref="A1:I1"/>
    <mergeCell ref="A30:D30"/>
    <mergeCell ref="A31:I31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Zeros="0" workbookViewId="0">
      <pane ySplit="2" topLeftCell="A3" activePane="bottomLeft" state="frozen"/>
      <selection/>
      <selection pane="bottomLeft" activeCell="A2" sqref="A2"/>
    </sheetView>
  </sheetViews>
  <sheetFormatPr defaultColWidth="8.96666666666667" defaultRowHeight="15"/>
  <cols>
    <col min="1" max="1" width="5.56666666666667" style="21" customWidth="1"/>
    <col min="2" max="2" width="23.5" style="21"/>
    <col min="3" max="3" width="35.75" style="21"/>
    <col min="4" max="4" width="7.31666666666667" style="21"/>
    <col min="5" max="5" width="11.125" style="21" hidden="1" customWidth="1"/>
    <col min="6" max="6" width="11.125" style="21"/>
    <col min="7" max="7" width="10.6916666666667" style="50"/>
    <col min="8" max="8" width="11.75" style="21"/>
    <col min="9" max="9" width="11.125" style="21" hidden="1" customWidth="1"/>
    <col min="10" max="10" width="10.6916666666667" style="21" hidden="1" customWidth="1"/>
    <col min="11" max="11" width="10.6916666666667" style="50" hidden="1" customWidth="1"/>
    <col min="12" max="12" width="11.75" style="21" hidden="1" customWidth="1"/>
    <col min="13" max="241" width="8.49166666666667" style="21"/>
    <col min="242" max="244" width="8.49166666666667"/>
  </cols>
  <sheetData>
    <row r="1" s="21" customFormat="1" ht="34.55" customHeight="1" spans="1:12">
      <c r="A1" s="62" t="s">
        <v>89</v>
      </c>
      <c r="B1" s="62"/>
      <c r="C1" s="62"/>
      <c r="D1" s="62"/>
      <c r="E1" s="62"/>
      <c r="F1" s="62"/>
      <c r="G1" s="62"/>
      <c r="H1" s="62"/>
      <c r="I1" s="62" t="s">
        <v>90</v>
      </c>
      <c r="J1" s="62"/>
      <c r="K1" s="62"/>
      <c r="L1" s="62"/>
    </row>
    <row r="2" s="21" customFormat="1" ht="41" customHeight="1" spans="1:12">
      <c r="A2" s="63" t="s">
        <v>1</v>
      </c>
      <c r="B2" s="63" t="s">
        <v>91</v>
      </c>
      <c r="C2" s="63" t="s">
        <v>92</v>
      </c>
      <c r="D2" s="63" t="s">
        <v>93</v>
      </c>
      <c r="E2" s="64" t="s">
        <v>30</v>
      </c>
      <c r="F2" s="64" t="s">
        <v>30</v>
      </c>
      <c r="G2" s="64" t="s">
        <v>32</v>
      </c>
      <c r="H2" s="65" t="s">
        <v>33</v>
      </c>
      <c r="I2" s="63" t="s">
        <v>30</v>
      </c>
      <c r="J2" s="63" t="s">
        <v>32</v>
      </c>
      <c r="K2" s="63" t="s">
        <v>94</v>
      </c>
      <c r="L2" s="66" t="s">
        <v>33</v>
      </c>
    </row>
    <row r="3" s="21" customFormat="1" ht="43" customHeight="1" spans="1:12">
      <c r="A3" s="11" t="s">
        <v>95</v>
      </c>
      <c r="B3" s="12" t="s">
        <v>96</v>
      </c>
      <c r="C3" s="12" t="s">
        <v>97</v>
      </c>
      <c r="D3" s="11" t="s">
        <v>79</v>
      </c>
      <c r="E3" s="67">
        <f>2700*0.5</f>
        <v>1350</v>
      </c>
      <c r="F3" s="44">
        <f t="shared" ref="F3:F13" si="0">E3*2</f>
        <v>2700</v>
      </c>
      <c r="G3" s="55"/>
      <c r="H3" s="56">
        <f t="shared" ref="H3:H15" si="1">ROUND(F3*G3,2)</f>
        <v>0</v>
      </c>
      <c r="I3" s="44" t="e">
        <f>#REF!-E3</f>
        <v>#REF!</v>
      </c>
      <c r="J3" s="68">
        <v>6.99</v>
      </c>
      <c r="K3" s="11">
        <v>1</v>
      </c>
      <c r="L3" s="69" t="e">
        <f t="shared" ref="L3:L13" si="2">I3*J3*K3</f>
        <v>#REF!</v>
      </c>
    </row>
    <row r="4" s="21" customFormat="1" ht="43" customHeight="1" spans="1:12">
      <c r="A4" s="11" t="s">
        <v>98</v>
      </c>
      <c r="B4" s="12" t="s">
        <v>99</v>
      </c>
      <c r="C4" s="12" t="s">
        <v>100</v>
      </c>
      <c r="D4" s="11" t="s">
        <v>79</v>
      </c>
      <c r="E4" s="67">
        <f>40270*0.2*0.5</f>
        <v>4027</v>
      </c>
      <c r="F4" s="44">
        <f t="shared" si="0"/>
        <v>8054</v>
      </c>
      <c r="G4" s="55"/>
      <c r="H4" s="56">
        <f t="shared" si="1"/>
        <v>0</v>
      </c>
      <c r="I4" s="44" t="e">
        <f>#REF!-E4</f>
        <v>#REF!</v>
      </c>
      <c r="J4" s="68">
        <v>8.11</v>
      </c>
      <c r="K4" s="11">
        <v>1</v>
      </c>
      <c r="L4" s="69" t="e">
        <f t="shared" si="2"/>
        <v>#REF!</v>
      </c>
    </row>
    <row r="5" s="21" customFormat="1" ht="43" customHeight="1" spans="1:12">
      <c r="A5" s="11" t="s">
        <v>101</v>
      </c>
      <c r="B5" s="12" t="s">
        <v>102</v>
      </c>
      <c r="C5" s="12" t="s">
        <v>103</v>
      </c>
      <c r="D5" s="11" t="s">
        <v>79</v>
      </c>
      <c r="E5" s="67">
        <f>40270*0.5*0.5</f>
        <v>10067.5</v>
      </c>
      <c r="F5" s="44">
        <f t="shared" si="0"/>
        <v>20135</v>
      </c>
      <c r="G5" s="55"/>
      <c r="H5" s="56">
        <f t="shared" si="1"/>
        <v>0</v>
      </c>
      <c r="I5" s="44" t="e">
        <f>#REF!-E5</f>
        <v>#REF!</v>
      </c>
      <c r="J5" s="68">
        <v>9.3</v>
      </c>
      <c r="K5" s="11">
        <v>1</v>
      </c>
      <c r="L5" s="69" t="e">
        <f t="shared" si="2"/>
        <v>#REF!</v>
      </c>
    </row>
    <row r="6" s="21" customFormat="1" ht="43" customHeight="1" spans="1:12">
      <c r="A6" s="11" t="s">
        <v>104</v>
      </c>
      <c r="B6" s="12" t="s">
        <v>105</v>
      </c>
      <c r="C6" s="12" t="s">
        <v>106</v>
      </c>
      <c r="D6" s="11" t="s">
        <v>79</v>
      </c>
      <c r="E6" s="67">
        <f>40270*0.2*0.5</f>
        <v>4027</v>
      </c>
      <c r="F6" s="44">
        <f t="shared" si="0"/>
        <v>8054</v>
      </c>
      <c r="G6" s="55"/>
      <c r="H6" s="56">
        <f t="shared" si="1"/>
        <v>0</v>
      </c>
      <c r="I6" s="44" t="e">
        <f>#REF!-E6</f>
        <v>#REF!</v>
      </c>
      <c r="J6" s="68">
        <v>11.52</v>
      </c>
      <c r="K6" s="11">
        <v>1</v>
      </c>
      <c r="L6" s="69" t="e">
        <f t="shared" si="2"/>
        <v>#REF!</v>
      </c>
    </row>
    <row r="7" s="21" customFormat="1" ht="43" customHeight="1" spans="1:12">
      <c r="A7" s="11" t="s">
        <v>107</v>
      </c>
      <c r="B7" s="12" t="s">
        <v>108</v>
      </c>
      <c r="C7" s="12" t="s">
        <v>109</v>
      </c>
      <c r="D7" s="11" t="s">
        <v>79</v>
      </c>
      <c r="E7" s="67">
        <f>40270*0.1*0.5</f>
        <v>2013.5</v>
      </c>
      <c r="F7" s="44">
        <f t="shared" si="0"/>
        <v>4027</v>
      </c>
      <c r="G7" s="55"/>
      <c r="H7" s="56">
        <f t="shared" si="1"/>
        <v>0</v>
      </c>
      <c r="I7" s="44" t="e">
        <f>#REF!-E7</f>
        <v>#REF!</v>
      </c>
      <c r="J7" s="68">
        <v>13.81</v>
      </c>
      <c r="K7" s="11">
        <v>0.5</v>
      </c>
      <c r="L7" s="69" t="e">
        <f t="shared" si="2"/>
        <v>#REF!</v>
      </c>
    </row>
    <row r="8" s="21" customFormat="1" ht="43" customHeight="1" spans="1:12">
      <c r="A8" s="11" t="s">
        <v>110</v>
      </c>
      <c r="B8" s="12" t="s">
        <v>111</v>
      </c>
      <c r="C8" s="12" t="s">
        <v>112</v>
      </c>
      <c r="D8" s="11" t="s">
        <v>79</v>
      </c>
      <c r="E8" s="67">
        <f>750*0.5</f>
        <v>375</v>
      </c>
      <c r="F8" s="44">
        <f t="shared" si="0"/>
        <v>750</v>
      </c>
      <c r="G8" s="55"/>
      <c r="H8" s="56">
        <f t="shared" si="1"/>
        <v>0</v>
      </c>
      <c r="I8" s="44" t="e">
        <f>#REF!-E8</f>
        <v>#REF!</v>
      </c>
      <c r="J8" s="68">
        <v>16.6</v>
      </c>
      <c r="K8" s="11">
        <v>0.5</v>
      </c>
      <c r="L8" s="69" t="e">
        <f t="shared" si="2"/>
        <v>#REF!</v>
      </c>
    </row>
    <row r="9" s="21" customFormat="1" ht="43" customHeight="1" spans="1:12">
      <c r="A9" s="11" t="s">
        <v>113</v>
      </c>
      <c r="B9" s="12" t="s">
        <v>114</v>
      </c>
      <c r="C9" s="12" t="s">
        <v>115</v>
      </c>
      <c r="D9" s="11" t="s">
        <v>73</v>
      </c>
      <c r="E9" s="70">
        <f t="shared" ref="E9:E11" si="3">1450*0.33</f>
        <v>478.5</v>
      </c>
      <c r="F9" s="15">
        <f t="shared" si="0"/>
        <v>957</v>
      </c>
      <c r="G9" s="55"/>
      <c r="H9" s="56">
        <f t="shared" si="1"/>
        <v>0</v>
      </c>
      <c r="I9" s="44" t="e">
        <f>#REF!-E9</f>
        <v>#REF!</v>
      </c>
      <c r="J9" s="68">
        <v>31.47</v>
      </c>
      <c r="K9" s="11">
        <v>1</v>
      </c>
      <c r="L9" s="69" t="e">
        <f t="shared" si="2"/>
        <v>#REF!</v>
      </c>
    </row>
    <row r="10" s="21" customFormat="1" ht="43" customHeight="1" spans="1:12">
      <c r="A10" s="11" t="s">
        <v>116</v>
      </c>
      <c r="B10" s="12" t="s">
        <v>114</v>
      </c>
      <c r="C10" s="12" t="s">
        <v>117</v>
      </c>
      <c r="D10" s="11" t="s">
        <v>73</v>
      </c>
      <c r="E10" s="70">
        <f t="shared" si="3"/>
        <v>478.5</v>
      </c>
      <c r="F10" s="15">
        <f t="shared" si="0"/>
        <v>957</v>
      </c>
      <c r="G10" s="55"/>
      <c r="H10" s="56">
        <f t="shared" si="1"/>
        <v>0</v>
      </c>
      <c r="I10" s="44" t="e">
        <f>#REF!-E10</f>
        <v>#REF!</v>
      </c>
      <c r="J10" s="68">
        <v>45.77</v>
      </c>
      <c r="K10" s="11">
        <v>1</v>
      </c>
      <c r="L10" s="69" t="e">
        <f t="shared" si="2"/>
        <v>#REF!</v>
      </c>
    </row>
    <row r="11" s="21" customFormat="1" ht="43" customHeight="1" spans="1:12">
      <c r="A11" s="11" t="s">
        <v>118</v>
      </c>
      <c r="B11" s="12" t="s">
        <v>114</v>
      </c>
      <c r="C11" s="12" t="s">
        <v>119</v>
      </c>
      <c r="D11" s="11" t="s">
        <v>73</v>
      </c>
      <c r="E11" s="70">
        <f t="shared" si="3"/>
        <v>478.5</v>
      </c>
      <c r="F11" s="15">
        <f t="shared" si="0"/>
        <v>957</v>
      </c>
      <c r="G11" s="55"/>
      <c r="H11" s="56">
        <f t="shared" si="1"/>
        <v>0</v>
      </c>
      <c r="I11" s="44" t="e">
        <f>#REF!-E11</f>
        <v>#REF!</v>
      </c>
      <c r="J11" s="68">
        <v>64.37</v>
      </c>
      <c r="K11" s="11">
        <v>1</v>
      </c>
      <c r="L11" s="69" t="e">
        <f t="shared" si="2"/>
        <v>#REF!</v>
      </c>
    </row>
    <row r="12" s="21" customFormat="1" ht="43" customHeight="1" spans="1:12">
      <c r="A12" s="11" t="s">
        <v>120</v>
      </c>
      <c r="B12" s="12" t="s">
        <v>114</v>
      </c>
      <c r="C12" s="12" t="s">
        <v>121</v>
      </c>
      <c r="D12" s="11" t="s">
        <v>73</v>
      </c>
      <c r="E12" s="70">
        <f>1450*0.3</f>
        <v>435</v>
      </c>
      <c r="F12" s="15">
        <f t="shared" si="0"/>
        <v>870</v>
      </c>
      <c r="G12" s="55"/>
      <c r="H12" s="56">
        <f t="shared" si="1"/>
        <v>0</v>
      </c>
      <c r="I12" s="44" t="e">
        <f>#REF!-E12</f>
        <v>#REF!</v>
      </c>
      <c r="J12" s="68">
        <v>182.97</v>
      </c>
      <c r="K12" s="11">
        <v>1</v>
      </c>
      <c r="L12" s="69" t="e">
        <f t="shared" si="2"/>
        <v>#REF!</v>
      </c>
    </row>
    <row r="13" s="21" customFormat="1" ht="43" customHeight="1" spans="1:12">
      <c r="A13" s="11" t="s">
        <v>122</v>
      </c>
      <c r="B13" s="12" t="s">
        <v>71</v>
      </c>
      <c r="C13" s="12" t="s">
        <v>123</v>
      </c>
      <c r="D13" s="11" t="s">
        <v>73</v>
      </c>
      <c r="E13" s="70">
        <v>600</v>
      </c>
      <c r="F13" s="15">
        <f t="shared" si="0"/>
        <v>1200</v>
      </c>
      <c r="G13" s="55"/>
      <c r="H13" s="56">
        <f t="shared" si="1"/>
        <v>0</v>
      </c>
      <c r="I13" s="44" t="e">
        <f>#REF!-E13</f>
        <v>#REF!</v>
      </c>
      <c r="J13" s="68">
        <v>14.48</v>
      </c>
      <c r="K13" s="11">
        <v>1</v>
      </c>
      <c r="L13" s="69" t="e">
        <f t="shared" si="2"/>
        <v>#REF!</v>
      </c>
    </row>
    <row r="14" s="21" customFormat="1" ht="43" customHeight="1" spans="1:12">
      <c r="A14" s="11" t="s">
        <v>124</v>
      </c>
      <c r="B14" s="11"/>
      <c r="C14" s="11"/>
      <c r="D14" s="11"/>
      <c r="E14" s="11"/>
      <c r="F14" s="11"/>
      <c r="G14" s="13"/>
      <c r="H14" s="71">
        <f>SUM(H3:H13)</f>
        <v>0</v>
      </c>
      <c r="I14" s="11"/>
      <c r="J14" s="11"/>
      <c r="K14" s="11"/>
      <c r="L14" s="72" t="e">
        <f>SUM(L3:L13)</f>
        <v>#REF!</v>
      </c>
    </row>
    <row r="15" ht="43" customHeight="1" spans="1:12">
      <c r="A15" s="19" t="s">
        <v>88</v>
      </c>
      <c r="B15" s="19"/>
      <c r="C15" s="19"/>
      <c r="D15" s="19"/>
      <c r="E15" s="19"/>
      <c r="F15" s="19"/>
      <c r="G15" s="40"/>
    </row>
  </sheetData>
  <sheetProtection algorithmName="SHA-512" hashValue="EEESkEZE1XxbZAmCUUbsabUUjn/7yW3aSbU1SSi/28h+fA6AwdauO7nccJHgdVOvfBRiCR0jvfbTYnhaTlX4Ow==" saltValue="qUC63Iw+yyJRO8W1OMuC2Q==" spinCount="100000" sheet="1" objects="1"/>
  <mergeCells count="4">
    <mergeCell ref="A1:H1"/>
    <mergeCell ref="I1:L1"/>
    <mergeCell ref="A14:D14"/>
    <mergeCell ref="A15:G15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showZeros="0" workbookViewId="0">
      <selection activeCell="A2" sqref="A2"/>
    </sheetView>
  </sheetViews>
  <sheetFormatPr defaultColWidth="8.96666666666667" defaultRowHeight="15" outlineLevelCol="7"/>
  <cols>
    <col min="1" max="1" width="6.94166666666667" style="21"/>
    <col min="2" max="2" width="22.6916666666667" style="21"/>
    <col min="3" max="3" width="33.3166666666667" style="21"/>
    <col min="4" max="4" width="6.75" style="21"/>
    <col min="5" max="5" width="10.8166666666667" style="50" hidden="1" customWidth="1"/>
    <col min="6" max="7" width="10.8166666666667" style="50"/>
    <col min="8" max="8" width="11.75" style="50"/>
    <col min="9" max="240" width="8.49166666666667" style="21"/>
    <col min="241" max="242" width="8.49166666666667"/>
  </cols>
  <sheetData>
    <row r="1" s="21" customFormat="1" ht="34.55" customHeight="1" spans="1:8">
      <c r="A1" s="51" t="s">
        <v>125</v>
      </c>
      <c r="B1" s="51"/>
      <c r="C1" s="51"/>
      <c r="D1" s="51"/>
      <c r="E1" s="51"/>
      <c r="F1" s="51"/>
      <c r="G1" s="51"/>
      <c r="H1" s="51"/>
    </row>
    <row r="2" s="21" customFormat="1" ht="41" customHeight="1" spans="1:8">
      <c r="A2" s="5" t="s">
        <v>1</v>
      </c>
      <c r="B2" s="5" t="s">
        <v>91</v>
      </c>
      <c r="C2" s="5" t="s">
        <v>92</v>
      </c>
      <c r="D2" s="5" t="s">
        <v>93</v>
      </c>
      <c r="E2" s="52" t="s">
        <v>30</v>
      </c>
      <c r="F2" s="34" t="s">
        <v>30</v>
      </c>
      <c r="G2" s="34" t="s">
        <v>32</v>
      </c>
      <c r="H2" s="53" t="s">
        <v>33</v>
      </c>
    </row>
    <row r="3" s="21" customFormat="1" ht="41" customHeight="1" spans="1:8">
      <c r="A3" s="11" t="s">
        <v>95</v>
      </c>
      <c r="B3" s="12" t="s">
        <v>126</v>
      </c>
      <c r="C3" s="12" t="s">
        <v>127</v>
      </c>
      <c r="D3" s="11" t="s">
        <v>79</v>
      </c>
      <c r="E3" s="54">
        <f>(225+600)*0.5</f>
        <v>412.5</v>
      </c>
      <c r="F3" s="44">
        <f t="shared" ref="F3:F13" si="0">E3*2</f>
        <v>825</v>
      </c>
      <c r="G3" s="55"/>
      <c r="H3" s="56">
        <f>ROUND(F3*G3,2)</f>
        <v>0</v>
      </c>
    </row>
    <row r="4" s="21" customFormat="1" ht="45" customHeight="1" spans="1:8">
      <c r="A4" s="11" t="s">
        <v>98</v>
      </c>
      <c r="B4" s="9" t="s">
        <v>128</v>
      </c>
      <c r="C4" s="9" t="s">
        <v>129</v>
      </c>
      <c r="D4" s="8" t="s">
        <v>79</v>
      </c>
      <c r="E4" s="54">
        <f>11470*0.5</f>
        <v>5735</v>
      </c>
      <c r="F4" s="8">
        <f t="shared" si="0"/>
        <v>11470</v>
      </c>
      <c r="G4" s="13"/>
      <c r="H4" s="57">
        <f>ROUND(F4*G4,2)</f>
        <v>0</v>
      </c>
    </row>
    <row r="5" s="21" customFormat="1" ht="45" customHeight="1" spans="1:8">
      <c r="A5" s="11" t="s">
        <v>101</v>
      </c>
      <c r="B5" s="9" t="s">
        <v>130</v>
      </c>
      <c r="C5" s="9" t="s">
        <v>131</v>
      </c>
      <c r="D5" s="8" t="s">
        <v>79</v>
      </c>
      <c r="E5" s="54">
        <f>(800+1200)*0.5</f>
        <v>1000</v>
      </c>
      <c r="F5" s="8">
        <f t="shared" si="0"/>
        <v>2000</v>
      </c>
      <c r="G5" s="13"/>
      <c r="H5" s="56">
        <f t="shared" ref="H5:H13" si="1">ROUND(F5*G5,2)</f>
        <v>0</v>
      </c>
    </row>
    <row r="6" s="21" customFormat="1" ht="42" customHeight="1" spans="1:8">
      <c r="A6" s="11" t="s">
        <v>104</v>
      </c>
      <c r="B6" s="9" t="s">
        <v>132</v>
      </c>
      <c r="C6" s="9" t="s">
        <v>133</v>
      </c>
      <c r="D6" s="8" t="s">
        <v>79</v>
      </c>
      <c r="E6" s="54">
        <v>20</v>
      </c>
      <c r="F6" s="8">
        <f t="shared" si="0"/>
        <v>40</v>
      </c>
      <c r="G6" s="13"/>
      <c r="H6" s="57">
        <f t="shared" si="1"/>
        <v>0</v>
      </c>
    </row>
    <row r="7" s="21" customFormat="1" ht="48" customHeight="1" spans="1:8">
      <c r="A7" s="11" t="s">
        <v>107</v>
      </c>
      <c r="B7" s="9" t="s">
        <v>134</v>
      </c>
      <c r="C7" s="9" t="s">
        <v>135</v>
      </c>
      <c r="D7" s="8" t="s">
        <v>79</v>
      </c>
      <c r="E7" s="54">
        <v>20</v>
      </c>
      <c r="F7" s="8">
        <f t="shared" si="0"/>
        <v>40</v>
      </c>
      <c r="G7" s="13"/>
      <c r="H7" s="56">
        <f t="shared" si="1"/>
        <v>0</v>
      </c>
    </row>
    <row r="8" s="21" customFormat="1" ht="49.3" customHeight="1" spans="1:8">
      <c r="A8" s="11" t="s">
        <v>110</v>
      </c>
      <c r="B8" s="9" t="s">
        <v>136</v>
      </c>
      <c r="C8" s="9" t="s">
        <v>137</v>
      </c>
      <c r="D8" s="8" t="s">
        <v>79</v>
      </c>
      <c r="E8" s="54">
        <v>20</v>
      </c>
      <c r="F8" s="8">
        <f t="shared" si="0"/>
        <v>40</v>
      </c>
      <c r="G8" s="13"/>
      <c r="H8" s="57">
        <f t="shared" si="1"/>
        <v>0</v>
      </c>
    </row>
    <row r="9" s="21" customFormat="1" ht="43" customHeight="1" spans="1:8">
      <c r="A9" s="11" t="s">
        <v>113</v>
      </c>
      <c r="B9" s="9" t="s">
        <v>138</v>
      </c>
      <c r="C9" s="12" t="s">
        <v>139</v>
      </c>
      <c r="D9" s="11" t="s">
        <v>79</v>
      </c>
      <c r="E9" s="54">
        <v>2000</v>
      </c>
      <c r="F9" s="8">
        <f t="shared" si="0"/>
        <v>4000</v>
      </c>
      <c r="G9" s="13"/>
      <c r="H9" s="56">
        <f t="shared" si="1"/>
        <v>0</v>
      </c>
    </row>
    <row r="10" s="21" customFormat="1" ht="48.55" customHeight="1" spans="1:8">
      <c r="A10" s="11" t="s">
        <v>116</v>
      </c>
      <c r="B10" s="12" t="s">
        <v>114</v>
      </c>
      <c r="C10" s="12" t="s">
        <v>140</v>
      </c>
      <c r="D10" s="8" t="s">
        <v>73</v>
      </c>
      <c r="E10" s="58">
        <f t="shared" ref="E10:E13" si="2">850*0.333</f>
        <v>283.05</v>
      </c>
      <c r="F10" s="59">
        <f t="shared" si="0"/>
        <v>566.1</v>
      </c>
      <c r="G10" s="13"/>
      <c r="H10" s="57">
        <f t="shared" si="1"/>
        <v>0</v>
      </c>
    </row>
    <row r="11" s="21" customFormat="1" ht="48.55" customHeight="1" spans="1:8">
      <c r="A11" s="11" t="s">
        <v>118</v>
      </c>
      <c r="B11" s="12" t="s">
        <v>114</v>
      </c>
      <c r="C11" s="12" t="s">
        <v>141</v>
      </c>
      <c r="D11" s="8" t="s">
        <v>73</v>
      </c>
      <c r="E11" s="58">
        <f t="shared" si="2"/>
        <v>283.05</v>
      </c>
      <c r="F11" s="59">
        <f t="shared" si="0"/>
        <v>566.1</v>
      </c>
      <c r="G11" s="13"/>
      <c r="H11" s="56">
        <f t="shared" si="1"/>
        <v>0</v>
      </c>
    </row>
    <row r="12" s="21" customFormat="1" ht="48.55" customHeight="1" spans="1:8">
      <c r="A12" s="11" t="s">
        <v>120</v>
      </c>
      <c r="B12" s="12" t="s">
        <v>114</v>
      </c>
      <c r="C12" s="12" t="s">
        <v>142</v>
      </c>
      <c r="D12" s="8" t="s">
        <v>73</v>
      </c>
      <c r="E12" s="58">
        <f t="shared" si="2"/>
        <v>283.05</v>
      </c>
      <c r="F12" s="59">
        <f t="shared" si="0"/>
        <v>566.1</v>
      </c>
      <c r="G12" s="13"/>
      <c r="H12" s="57">
        <f t="shared" si="1"/>
        <v>0</v>
      </c>
    </row>
    <row r="13" s="21" customFormat="1" ht="48.55" customHeight="1" spans="1:8">
      <c r="A13" s="11" t="s">
        <v>122</v>
      </c>
      <c r="B13" s="12" t="s">
        <v>114</v>
      </c>
      <c r="C13" s="12" t="s">
        <v>143</v>
      </c>
      <c r="D13" s="8" t="s">
        <v>73</v>
      </c>
      <c r="E13" s="58">
        <f t="shared" si="2"/>
        <v>283.05</v>
      </c>
      <c r="F13" s="59">
        <f t="shared" si="0"/>
        <v>566.1</v>
      </c>
      <c r="G13" s="13"/>
      <c r="H13" s="56">
        <f t="shared" si="1"/>
        <v>0</v>
      </c>
    </row>
    <row r="14" s="21" customFormat="1" ht="22.8" customHeight="1" spans="1:8">
      <c r="A14" s="8" t="s">
        <v>124</v>
      </c>
      <c r="B14" s="8"/>
      <c r="C14" s="8"/>
      <c r="D14" s="8"/>
      <c r="E14" s="60"/>
      <c r="F14" s="8"/>
      <c r="G14" s="10"/>
      <c r="H14" s="61">
        <f>SUM(H3:H13)</f>
        <v>0</v>
      </c>
    </row>
    <row r="15" ht="22" customHeight="1" spans="1:8">
      <c r="A15" s="19" t="s">
        <v>88</v>
      </c>
      <c r="B15" s="19"/>
      <c r="C15" s="19"/>
      <c r="D15" s="19"/>
      <c r="E15" s="40"/>
      <c r="F15" s="40"/>
      <c r="G15" s="40"/>
    </row>
  </sheetData>
  <sheetProtection algorithmName="SHA-512" hashValue="JBqnfW71jJS1tFhivamRE1u/VOi1+ugfzpEF1SW4fVCo1EuHQMVm5PM6fiuPHn31FrHOFhpmchBbq7VNVIcC5g==" saltValue="JdZwvmKCeUbbxc6ZfYMREw==" spinCount="100000" sheet="1" objects="1"/>
  <mergeCells count="3">
    <mergeCell ref="A1:H1"/>
    <mergeCell ref="A14:D14"/>
    <mergeCell ref="A15:G15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showZeros="0" workbookViewId="0">
      <selection activeCell="A1" sqref="A1:K1"/>
    </sheetView>
  </sheetViews>
  <sheetFormatPr defaultColWidth="8.96666666666667" defaultRowHeight="15"/>
  <cols>
    <col min="1" max="1" width="5.81666666666667" style="20"/>
    <col min="2" max="2" width="20" style="30"/>
    <col min="3" max="3" width="30.3333333333333" style="20" customWidth="1"/>
    <col min="4" max="4" width="5.49166666666667" style="20"/>
    <col min="5" max="6" width="11.5666666666667" style="30" hidden="1" customWidth="1"/>
    <col min="7" max="7" width="11.5666666666667" style="31" hidden="1" customWidth="1"/>
    <col min="8" max="8" width="13.75" style="30" hidden="1" customWidth="1"/>
    <col min="9" max="10" width="11.5666666666667" style="30"/>
    <col min="11" max="11" width="11.5666666666667" style="31"/>
    <col min="12" max="13" width="11.5666666666667" style="30" hidden="1" customWidth="1"/>
    <col min="14" max="14" width="11.5666666666667" style="31" hidden="1" customWidth="1"/>
    <col min="15" max="247" width="10.6"/>
  </cols>
  <sheetData>
    <row r="1" ht="35" customHeight="1" spans="1:14">
      <c r="A1" s="32" t="s">
        <v>144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 t="s">
        <v>90</v>
      </c>
      <c r="M1" s="32"/>
      <c r="N1" s="32"/>
    </row>
    <row r="2" ht="9" customHeight="1" spans="1:1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="20" customFormat="1" ht="28.35" customHeight="1" spans="1:14">
      <c r="A3" s="5" t="s">
        <v>1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32</v>
      </c>
      <c r="G3" s="7" t="s">
        <v>33</v>
      </c>
      <c r="H3" s="46" t="s">
        <v>145</v>
      </c>
      <c r="I3" s="5" t="s">
        <v>30</v>
      </c>
      <c r="J3" s="5" t="s">
        <v>32</v>
      </c>
      <c r="K3" s="7" t="s">
        <v>33</v>
      </c>
      <c r="L3" s="5" t="s">
        <v>30</v>
      </c>
      <c r="M3" s="5" t="s">
        <v>32</v>
      </c>
      <c r="N3" s="7" t="s">
        <v>33</v>
      </c>
    </row>
    <row r="4" ht="28.35" customHeight="1" spans="1:14">
      <c r="A4" s="33">
        <v>1</v>
      </c>
      <c r="B4" s="6" t="s">
        <v>13</v>
      </c>
      <c r="C4" s="6" t="s">
        <v>146</v>
      </c>
      <c r="D4" s="33" t="s">
        <v>147</v>
      </c>
      <c r="E4" s="6">
        <v>53</v>
      </c>
      <c r="F4" s="6">
        <v>1401.41</v>
      </c>
      <c r="G4" s="47">
        <f>E4*F4</f>
        <v>74274.73</v>
      </c>
      <c r="H4" s="5"/>
      <c r="I4" s="34">
        <v>60</v>
      </c>
      <c r="J4" s="35"/>
      <c r="K4" s="36">
        <f>I4*J4</f>
        <v>0</v>
      </c>
      <c r="L4" s="6">
        <v>11</v>
      </c>
      <c r="M4" s="6">
        <v>1401.41</v>
      </c>
      <c r="N4" s="47">
        <f>L4*M4</f>
        <v>15415.51</v>
      </c>
    </row>
    <row r="5" ht="28.35" customHeight="1" spans="1:14">
      <c r="A5" s="37" t="s">
        <v>24</v>
      </c>
      <c r="B5" s="37"/>
      <c r="C5" s="37"/>
      <c r="D5" s="37"/>
      <c r="E5" s="37"/>
      <c r="F5" s="37"/>
      <c r="G5" s="48">
        <f>SUM(G4:G4)</f>
        <v>74274.73</v>
      </c>
      <c r="H5" s="49"/>
      <c r="I5" s="37"/>
      <c r="J5" s="38"/>
      <c r="K5" s="39">
        <f>SUM(K4:K4)</f>
        <v>0</v>
      </c>
      <c r="L5" s="37"/>
      <c r="M5" s="37"/>
      <c r="N5" s="48">
        <f>SUM(N4:N4)</f>
        <v>15415.51</v>
      </c>
    </row>
    <row r="6" spans="1:14">
      <c r="A6" s="19" t="s">
        <v>88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43"/>
    </row>
    <row r="7" spans="1:14">
      <c r="A7" s="41"/>
      <c r="B7" s="42"/>
      <c r="C7" s="41"/>
      <c r="D7" s="41"/>
      <c r="E7" s="42"/>
      <c r="F7" s="42"/>
      <c r="G7" s="43"/>
      <c r="H7" s="42"/>
      <c r="I7" s="42"/>
      <c r="J7" s="42"/>
      <c r="K7" s="43"/>
      <c r="L7" s="42"/>
      <c r="M7" s="42"/>
      <c r="N7" s="43"/>
    </row>
    <row r="8" spans="1:14">
      <c r="A8" s="41"/>
      <c r="B8" s="42"/>
      <c r="C8" s="41"/>
      <c r="D8" s="41"/>
      <c r="E8" s="42"/>
      <c r="F8" s="42"/>
      <c r="G8" s="43"/>
      <c r="H8" s="42"/>
      <c r="I8" s="42"/>
      <c r="J8" s="42"/>
      <c r="K8" s="43"/>
      <c r="L8" s="42"/>
      <c r="M8" s="42"/>
      <c r="N8" s="43"/>
    </row>
    <row r="9" spans="1:14">
      <c r="A9" s="41"/>
      <c r="B9" s="42"/>
      <c r="C9" s="41"/>
      <c r="D9" s="41"/>
      <c r="E9" s="42"/>
      <c r="F9" s="42"/>
      <c r="G9" s="43"/>
      <c r="H9" s="42"/>
      <c r="I9" s="42"/>
      <c r="J9" s="42"/>
      <c r="K9" s="43"/>
      <c r="L9" s="42"/>
      <c r="M9" s="42"/>
      <c r="N9" s="43"/>
    </row>
    <row r="10" spans="1:14">
      <c r="A10" s="41"/>
      <c r="B10" s="42"/>
      <c r="C10" s="41"/>
      <c r="D10" s="41"/>
      <c r="E10" s="42"/>
      <c r="F10" s="42"/>
      <c r="G10" s="43"/>
      <c r="H10" s="42"/>
      <c r="I10" s="42"/>
      <c r="J10" s="42"/>
      <c r="K10" s="43"/>
      <c r="L10" s="42"/>
      <c r="M10" s="42"/>
      <c r="N10" s="43"/>
    </row>
    <row r="11" spans="1:14">
      <c r="A11" s="41"/>
      <c r="B11" s="42"/>
      <c r="C11" s="41"/>
      <c r="D11" s="41"/>
      <c r="E11" s="42"/>
      <c r="F11" s="42"/>
      <c r="G11" s="43"/>
      <c r="H11" s="42"/>
      <c r="I11" s="42"/>
      <c r="J11" s="42"/>
      <c r="K11" s="43"/>
      <c r="L11" s="42"/>
      <c r="M11" s="42"/>
      <c r="N11" s="43"/>
    </row>
  </sheetData>
  <sheetProtection algorithmName="SHA-512" hashValue="ibt41Lyzqg0WEsuwOGljzbHp0J17TJc4Rcg9ED378eJIQGMuaQUEfPM3l32EZJAsOOYy6CnmfK2SK5wMzghhSg==" saltValue="cWQzGpLr0g0GK9dAlE82/w==" spinCount="100000" sheet="1" objects="1"/>
  <mergeCells count="5">
    <mergeCell ref="A1:K1"/>
    <mergeCell ref="L1:N1"/>
    <mergeCell ref="A2:H2"/>
    <mergeCell ref="A5:F5"/>
    <mergeCell ref="A6:M6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K5" sqref="K5"/>
    </sheetView>
  </sheetViews>
  <sheetFormatPr defaultColWidth="9" defaultRowHeight="15" outlineLevelRow="6"/>
  <cols>
    <col min="3" max="3" width="29.5" customWidth="1"/>
    <col min="5" max="5" width="11.25" customWidth="1"/>
    <col min="7" max="7" width="12" customWidth="1"/>
  </cols>
  <sheetData>
    <row r="1" ht="49" customHeight="1" spans="1:9">
      <c r="A1" s="32" t="s">
        <v>148</v>
      </c>
      <c r="B1" s="32"/>
      <c r="C1" s="32"/>
      <c r="D1" s="32"/>
      <c r="E1" s="32"/>
      <c r="F1" s="32"/>
      <c r="G1" s="32"/>
    </row>
    <row r="2" ht="26" spans="1:9">
      <c r="A2" s="5" t="s">
        <v>1</v>
      </c>
      <c r="B2" s="5" t="s">
        <v>27</v>
      </c>
      <c r="C2" s="5" t="s">
        <v>28</v>
      </c>
      <c r="D2" s="5" t="s">
        <v>29</v>
      </c>
      <c r="E2" s="5" t="s">
        <v>30</v>
      </c>
      <c r="F2" s="5" t="s">
        <v>32</v>
      </c>
      <c r="G2" s="7" t="s">
        <v>33</v>
      </c>
      <c r="H2" s="20"/>
      <c r="I2" s="20"/>
    </row>
    <row r="3" ht="48" customHeight="1" spans="1:9">
      <c r="A3" s="33">
        <v>1</v>
      </c>
      <c r="B3" s="12" t="s">
        <v>15</v>
      </c>
      <c r="C3" s="12" t="s">
        <v>149</v>
      </c>
      <c r="D3" s="33" t="s">
        <v>79</v>
      </c>
      <c r="E3" s="44">
        <f>70485*0.5</f>
        <v>35242.5</v>
      </c>
      <c r="F3" s="16"/>
      <c r="G3" s="16">
        <f>F3*E3</f>
        <v>0</v>
      </c>
    </row>
    <row r="4" ht="44" customHeight="1" spans="1:9">
      <c r="A4" s="33">
        <v>2</v>
      </c>
      <c r="B4" s="12" t="s">
        <v>15</v>
      </c>
      <c r="C4" s="12" t="s">
        <v>150</v>
      </c>
      <c r="D4" s="33" t="s">
        <v>79</v>
      </c>
      <c r="E4" s="44">
        <f>(70485-5000)*0.5</f>
        <v>32742.5</v>
      </c>
      <c r="F4" s="16"/>
      <c r="G4" s="16">
        <f>F4*E4</f>
        <v>0</v>
      </c>
    </row>
    <row r="5" ht="45" customHeight="1" spans="1:9">
      <c r="A5" s="33">
        <v>3</v>
      </c>
      <c r="B5" s="12" t="s">
        <v>15</v>
      </c>
      <c r="C5" s="12" t="s">
        <v>151</v>
      </c>
      <c r="D5" s="33" t="s">
        <v>79</v>
      </c>
      <c r="E5" s="44">
        <f>750*0.5</f>
        <v>375</v>
      </c>
      <c r="F5" s="16"/>
      <c r="G5" s="16">
        <f>F5*E5</f>
        <v>0</v>
      </c>
    </row>
    <row r="6" ht="35" customHeight="1" spans="1:9">
      <c r="A6" s="37" t="s">
        <v>24</v>
      </c>
      <c r="B6" s="37"/>
      <c r="C6" s="37"/>
      <c r="D6" s="37"/>
      <c r="E6" s="37"/>
      <c r="F6" s="38"/>
      <c r="G6" s="39">
        <f>SUM(G3:G5)</f>
        <v>0</v>
      </c>
    </row>
    <row r="7" ht="21" customHeight="1" spans="1:9">
      <c r="A7" s="19" t="s">
        <v>88</v>
      </c>
      <c r="B7" s="19"/>
      <c r="C7" s="19"/>
      <c r="D7" s="19"/>
      <c r="E7" s="19"/>
      <c r="F7" s="19"/>
      <c r="G7" s="19"/>
      <c r="H7" s="19"/>
      <c r="I7" s="19"/>
    </row>
  </sheetData>
  <sheetProtection algorithmName="SHA-512" hashValue="5gi8mhIqGgj/iR/ei3TpAa6ax6dyytWuO2otARUkTgKe63GWHbg1ziCWeQh7ycoE0iZ0zSzuDygnGJtnH3qwQA==" saltValue="t6Zq05uAQOHjW6jgaD0xwA==" spinCount="100000" sheet="1" objects="1"/>
  <mergeCells count="3">
    <mergeCell ref="A1:G1"/>
    <mergeCell ref="A6:D6"/>
    <mergeCell ref="A7:I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2" sqref="A2"/>
    </sheetView>
  </sheetViews>
  <sheetFormatPr defaultColWidth="8.96666666666667" defaultRowHeight="15"/>
  <cols>
    <col min="1" max="1" width="7.08333333333333" style="20" customWidth="1"/>
    <col min="2" max="2" width="20" style="30"/>
    <col min="3" max="3" width="35.2583333333333" style="20" customWidth="1"/>
    <col min="4" max="4" width="5.49166666666667" style="20"/>
    <col min="5" max="5" width="11.5666666666667" style="30"/>
    <col min="6" max="6" width="11.5666666666667" style="20"/>
    <col min="7" max="7" width="11.5666666666667" style="31"/>
    <col min="8" max="242" width="10.6"/>
  </cols>
  <sheetData>
    <row r="1" ht="34" customHeight="1" spans="1:9">
      <c r="A1" s="32" t="s">
        <v>152</v>
      </c>
      <c r="B1" s="32"/>
      <c r="C1" s="32"/>
      <c r="D1" s="32"/>
      <c r="E1" s="32"/>
      <c r="F1" s="32"/>
      <c r="G1" s="32"/>
    </row>
    <row r="2" s="20" customFormat="1" ht="28.35" customHeight="1" spans="1:9">
      <c r="A2" s="5" t="s">
        <v>1</v>
      </c>
      <c r="B2" s="5" t="s">
        <v>27</v>
      </c>
      <c r="C2" s="5" t="s">
        <v>28</v>
      </c>
      <c r="D2" s="5" t="s">
        <v>29</v>
      </c>
      <c r="E2" s="5" t="s">
        <v>30</v>
      </c>
      <c r="F2" s="5" t="s">
        <v>32</v>
      </c>
      <c r="G2" s="7" t="s">
        <v>33</v>
      </c>
    </row>
    <row r="3" ht="28.35" customHeight="1" spans="1:9">
      <c r="A3" s="33">
        <v>1</v>
      </c>
      <c r="B3" s="6" t="s">
        <v>153</v>
      </c>
      <c r="C3" s="6" t="s">
        <v>154</v>
      </c>
      <c r="D3" s="33" t="s">
        <v>155</v>
      </c>
      <c r="E3" s="34">
        <v>400</v>
      </c>
      <c r="F3" s="35"/>
      <c r="G3" s="36">
        <f>E3*F3</f>
        <v>0</v>
      </c>
    </row>
    <row r="4" ht="28.35" customHeight="1" spans="1:9">
      <c r="A4" s="33">
        <v>2</v>
      </c>
      <c r="B4" s="6" t="s">
        <v>153</v>
      </c>
      <c r="C4" s="6" t="s">
        <v>156</v>
      </c>
      <c r="D4" s="33" t="s">
        <v>155</v>
      </c>
      <c r="E4" s="34">
        <v>400</v>
      </c>
      <c r="F4" s="35"/>
      <c r="G4" s="36">
        <f>E4*F4</f>
        <v>0</v>
      </c>
    </row>
    <row r="5" ht="28.35" customHeight="1" spans="1:9">
      <c r="A5" s="33">
        <v>3</v>
      </c>
      <c r="B5" s="6" t="s">
        <v>157</v>
      </c>
      <c r="C5" s="6" t="s">
        <v>158</v>
      </c>
      <c r="D5" s="33" t="s">
        <v>155</v>
      </c>
      <c r="E5" s="34">
        <v>800</v>
      </c>
      <c r="F5" s="35"/>
      <c r="G5" s="36">
        <f>E5*F5</f>
        <v>0</v>
      </c>
    </row>
    <row r="6" ht="28.35" customHeight="1" spans="1:9">
      <c r="A6" s="37" t="s">
        <v>24</v>
      </c>
      <c r="B6" s="37"/>
      <c r="C6" s="37"/>
      <c r="D6" s="37"/>
      <c r="E6" s="37"/>
      <c r="F6" s="38"/>
      <c r="G6" s="39">
        <f>SUM(G3:G5)</f>
        <v>0</v>
      </c>
    </row>
    <row r="7" spans="1:9">
      <c r="A7" s="19" t="s">
        <v>88</v>
      </c>
      <c r="B7" s="19"/>
      <c r="C7" s="19"/>
      <c r="D7" s="19"/>
      <c r="E7" s="19"/>
      <c r="F7" s="40"/>
      <c r="G7" s="19"/>
      <c r="H7" s="19"/>
      <c r="I7" s="19"/>
    </row>
    <row r="8" spans="1:9">
      <c r="A8" s="41"/>
      <c r="B8" s="42"/>
      <c r="C8" s="41"/>
      <c r="D8" s="41"/>
      <c r="E8" s="42"/>
      <c r="F8" s="41"/>
      <c r="G8" s="43"/>
    </row>
    <row r="9" spans="1:9">
      <c r="A9" s="41"/>
      <c r="B9" s="42"/>
      <c r="C9" s="41"/>
      <c r="D9" s="41"/>
      <c r="E9" s="42"/>
      <c r="F9" s="41"/>
      <c r="G9" s="43"/>
    </row>
    <row r="10" spans="1:9">
      <c r="A10" s="41"/>
      <c r="B10" s="42"/>
      <c r="C10" s="41"/>
      <c r="D10" s="41"/>
      <c r="E10" s="42"/>
      <c r="F10" s="41"/>
      <c r="G10" s="43"/>
    </row>
    <row r="11" spans="1:9">
      <c r="A11" s="41"/>
      <c r="B11" s="42"/>
      <c r="C11" s="41"/>
      <c r="D11" s="41"/>
      <c r="E11" s="42"/>
      <c r="F11" s="41"/>
      <c r="G11" s="43"/>
    </row>
    <row r="12" spans="1:9">
      <c r="A12" s="41"/>
      <c r="B12" s="42"/>
      <c r="C12" s="41"/>
      <c r="D12" s="41"/>
      <c r="E12" s="42"/>
      <c r="F12" s="41"/>
      <c r="G12" s="43"/>
    </row>
  </sheetData>
  <sheetProtection algorithmName="SHA-512" hashValue="8txSlzE3tt+fJgNRSndkWjzId/KGjBs+jky9VyvliryMEgaIlGad387Mw/1crKhZwniM3ui6RanS/JSQ83DK9Q==" saltValue="+KFy8rSy/jyAsRhNj8jeRg==" spinCount="100000" sheet="1" objects="1"/>
  <mergeCells count="3">
    <mergeCell ref="A1:G1"/>
    <mergeCell ref="A6:D6"/>
    <mergeCell ref="A7:I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2"/>
  <sheetViews>
    <sheetView showZeros="0" workbookViewId="0">
      <selection activeCell="A2" sqref="A2"/>
    </sheetView>
  </sheetViews>
  <sheetFormatPr defaultColWidth="8.96666666666667" defaultRowHeight="15"/>
  <cols>
    <col min="1" max="1" width="6.56666666666667" style="21"/>
    <col min="2" max="2" width="20.4416666666667" style="21"/>
    <col min="3" max="3" width="34.0666666666667" style="21"/>
    <col min="4" max="4" width="5.45" style="21"/>
    <col min="5" max="5" width="9.625" style="21" hidden="1" customWidth="1"/>
    <col min="6" max="6" width="9.66666666666667" style="21"/>
    <col min="7" max="7" width="9.625" style="21"/>
    <col min="8" max="8" width="12.125" style="21"/>
    <col min="9" max="245" width="8.49166666666667" style="21"/>
    <col min="246" max="248" width="8.49166666666667"/>
  </cols>
  <sheetData>
    <row r="1" ht="35" customHeight="1" spans="1:245">
      <c r="A1" s="22" t="s">
        <v>159</v>
      </c>
      <c r="B1" s="22"/>
      <c r="C1" s="22"/>
      <c r="D1" s="22"/>
      <c r="E1" s="22"/>
      <c r="F1" s="22"/>
      <c r="G1" s="22"/>
      <c r="H1" s="2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</row>
    <row r="2" s="20" customFormat="1" ht="28.35" customHeight="1" spans="1:245">
      <c r="A2" s="5" t="s">
        <v>1</v>
      </c>
      <c r="B2" s="5" t="s">
        <v>27</v>
      </c>
      <c r="C2" s="5" t="s">
        <v>28</v>
      </c>
      <c r="D2" s="5" t="s">
        <v>29</v>
      </c>
      <c r="E2" s="5" t="s">
        <v>30</v>
      </c>
      <c r="F2" s="5" t="s">
        <v>30</v>
      </c>
      <c r="G2" s="5" t="s">
        <v>32</v>
      </c>
      <c r="H2" s="7" t="s">
        <v>33</v>
      </c>
    </row>
    <row r="3" s="21" customFormat="1" ht="21" customHeight="1" spans="1:245">
      <c r="A3" s="8"/>
      <c r="B3" s="8" t="s">
        <v>160</v>
      </c>
      <c r="C3" s="8"/>
      <c r="D3" s="8"/>
      <c r="E3" s="23"/>
      <c r="F3" s="24"/>
      <c r="G3" s="25"/>
      <c r="H3" s="25"/>
    </row>
    <row r="4" s="21" customFormat="1" ht="21" customHeight="1" spans="1:245">
      <c r="A4" s="8" t="s">
        <v>95</v>
      </c>
      <c r="B4" s="9" t="s">
        <v>161</v>
      </c>
      <c r="C4" s="9" t="s">
        <v>162</v>
      </c>
      <c r="D4" s="8" t="s">
        <v>79</v>
      </c>
      <c r="E4" s="23">
        <v>60</v>
      </c>
      <c r="F4" s="26">
        <f>E4*0.2</f>
        <v>12</v>
      </c>
      <c r="G4" s="25"/>
      <c r="H4" s="27">
        <f t="shared" ref="H4:H9" si="0">ROUND(F4*G4,2)</f>
        <v>0</v>
      </c>
    </row>
    <row r="5" s="21" customFormat="1" ht="21" customHeight="1" spans="1:245">
      <c r="A5" s="8" t="s">
        <v>98</v>
      </c>
      <c r="B5" s="9" t="s">
        <v>161</v>
      </c>
      <c r="C5" s="9" t="s">
        <v>163</v>
      </c>
      <c r="D5" s="8" t="s">
        <v>79</v>
      </c>
      <c r="E5" s="23">
        <v>100</v>
      </c>
      <c r="F5" s="26">
        <f>E5*0.2</f>
        <v>20</v>
      </c>
      <c r="G5" s="25"/>
      <c r="H5" s="27">
        <f t="shared" si="0"/>
        <v>0</v>
      </c>
    </row>
    <row r="6" s="21" customFormat="1" ht="21" customHeight="1" spans="1:245">
      <c r="A6" s="8" t="s">
        <v>101</v>
      </c>
      <c r="B6" s="9" t="s">
        <v>161</v>
      </c>
      <c r="C6" s="9" t="s">
        <v>164</v>
      </c>
      <c r="D6" s="8" t="s">
        <v>79</v>
      </c>
      <c r="E6" s="23">
        <v>200</v>
      </c>
      <c r="F6" s="26">
        <v>25</v>
      </c>
      <c r="G6" s="25"/>
      <c r="H6" s="27">
        <f t="shared" si="0"/>
        <v>0</v>
      </c>
    </row>
    <row r="7" s="21" customFormat="1" ht="21" customHeight="1" spans="1:245">
      <c r="A7" s="8" t="s">
        <v>104</v>
      </c>
      <c r="B7" s="9" t="s">
        <v>161</v>
      </c>
      <c r="C7" s="9" t="s">
        <v>165</v>
      </c>
      <c r="D7" s="8" t="s">
        <v>79</v>
      </c>
      <c r="E7" s="23">
        <v>200</v>
      </c>
      <c r="F7" s="26">
        <v>20</v>
      </c>
      <c r="G7" s="25"/>
      <c r="H7" s="27">
        <f t="shared" si="0"/>
        <v>0</v>
      </c>
    </row>
    <row r="8" s="21" customFormat="1" ht="28" customHeight="1" spans="1:245">
      <c r="A8" s="8" t="s">
        <v>107</v>
      </c>
      <c r="B8" s="9" t="s">
        <v>166</v>
      </c>
      <c r="C8" s="9" t="s">
        <v>167</v>
      </c>
      <c r="D8" s="8" t="s">
        <v>36</v>
      </c>
      <c r="E8" s="23">
        <v>150</v>
      </c>
      <c r="F8" s="26">
        <f>E8</f>
        <v>150</v>
      </c>
      <c r="G8" s="25"/>
      <c r="H8" s="27">
        <f t="shared" si="0"/>
        <v>0</v>
      </c>
    </row>
    <row r="9" s="21" customFormat="1" ht="22" customHeight="1" spans="1:245">
      <c r="A9" s="8" t="s">
        <v>110</v>
      </c>
      <c r="B9" s="9" t="s">
        <v>166</v>
      </c>
      <c r="C9" s="9" t="s">
        <v>168</v>
      </c>
      <c r="D9" s="8" t="s">
        <v>36</v>
      </c>
      <c r="E9" s="23">
        <v>100</v>
      </c>
      <c r="F9" s="26">
        <f>E9</f>
        <v>100</v>
      </c>
      <c r="G9" s="25"/>
      <c r="H9" s="27">
        <f t="shared" si="0"/>
        <v>0</v>
      </c>
    </row>
    <row r="10" s="21" customFormat="1" ht="21" customHeight="1" spans="1:245">
      <c r="A10" s="8"/>
      <c r="B10" s="8" t="s">
        <v>169</v>
      </c>
      <c r="C10" s="8"/>
      <c r="D10" s="8"/>
      <c r="E10" s="23"/>
      <c r="F10" s="26"/>
      <c r="G10" s="25"/>
      <c r="H10" s="27"/>
    </row>
    <row r="11" s="21" customFormat="1" ht="30" customHeight="1" spans="1:245">
      <c r="A11" s="8" t="s">
        <v>113</v>
      </c>
      <c r="B11" s="9" t="s">
        <v>170</v>
      </c>
      <c r="C11" s="9" t="s">
        <v>171</v>
      </c>
      <c r="D11" s="8" t="s">
        <v>36</v>
      </c>
      <c r="E11" s="23">
        <f>2*30*1.5*2</f>
        <v>180</v>
      </c>
      <c r="F11" s="26">
        <f>E11*0.1</f>
        <v>18</v>
      </c>
      <c r="G11" s="25"/>
      <c r="H11" s="27">
        <f>ROUND(F11*G11,2)</f>
        <v>0</v>
      </c>
    </row>
    <row r="12" s="21" customFormat="1" ht="30" customHeight="1" spans="1:245">
      <c r="A12" s="8">
        <v>8</v>
      </c>
      <c r="B12" s="9" t="s">
        <v>172</v>
      </c>
      <c r="C12" s="9" t="s">
        <v>173</v>
      </c>
      <c r="D12" s="8" t="s">
        <v>36</v>
      </c>
      <c r="E12" s="23">
        <f>5*30*1.5*2</f>
        <v>450</v>
      </c>
      <c r="F12" s="26">
        <f>E12*0.1</f>
        <v>45</v>
      </c>
      <c r="G12" s="25"/>
      <c r="H12" s="27">
        <f>ROUND(F12*G12,2)</f>
        <v>0</v>
      </c>
    </row>
    <row r="13" s="21" customFormat="1" ht="30" customHeight="1" spans="1:245">
      <c r="A13" s="8">
        <v>9</v>
      </c>
      <c r="B13" s="9" t="s">
        <v>174</v>
      </c>
      <c r="C13" s="9" t="s">
        <v>175</v>
      </c>
      <c r="D13" s="8" t="s">
        <v>36</v>
      </c>
      <c r="E13" s="23">
        <f>2*30*1.5*2</f>
        <v>180</v>
      </c>
      <c r="F13" s="26">
        <f>E13*0.1</f>
        <v>18</v>
      </c>
      <c r="G13" s="25"/>
      <c r="H13" s="27">
        <f>ROUND(F13*G13,2)</f>
        <v>0</v>
      </c>
    </row>
    <row r="14" s="21" customFormat="1" ht="21" customHeight="1" spans="1:245">
      <c r="A14" s="8"/>
      <c r="B14" s="8" t="s">
        <v>176</v>
      </c>
      <c r="C14" s="8"/>
      <c r="D14" s="8"/>
      <c r="E14" s="23"/>
      <c r="F14" s="26"/>
      <c r="G14" s="25"/>
      <c r="H14" s="27"/>
    </row>
    <row r="15" s="21" customFormat="1" ht="32" customHeight="1" spans="1:245">
      <c r="A15" s="8">
        <v>10</v>
      </c>
      <c r="B15" s="9" t="s">
        <v>177</v>
      </c>
      <c r="C15" s="9" t="s">
        <v>178</v>
      </c>
      <c r="D15" s="8" t="s">
        <v>36</v>
      </c>
      <c r="E15" s="23">
        <f>9*16*30</f>
        <v>4320</v>
      </c>
      <c r="F15" s="26">
        <f>E15*0.03</f>
        <v>129.6</v>
      </c>
      <c r="G15" s="25"/>
      <c r="H15" s="27">
        <f>ROUND(F15*G15,2)</f>
        <v>0</v>
      </c>
    </row>
    <row r="16" s="21" customFormat="1" ht="21" customHeight="1" spans="1:245">
      <c r="A16" s="8"/>
      <c r="B16" s="8" t="s">
        <v>179</v>
      </c>
      <c r="C16" s="8"/>
      <c r="D16" s="8"/>
      <c r="E16" s="23"/>
      <c r="F16" s="26"/>
      <c r="G16" s="25"/>
      <c r="H16" s="27"/>
    </row>
    <row r="17" s="21" customFormat="1" ht="21" customHeight="1" spans="1:13">
      <c r="A17" s="8">
        <v>11</v>
      </c>
      <c r="B17" s="9" t="s">
        <v>180</v>
      </c>
      <c r="C17" s="9" t="s">
        <v>181</v>
      </c>
      <c r="D17" s="8" t="s">
        <v>79</v>
      </c>
      <c r="E17" s="23">
        <v>300</v>
      </c>
      <c r="F17" s="26">
        <f>E17*1</f>
        <v>300</v>
      </c>
      <c r="G17" s="25"/>
      <c r="H17" s="27">
        <f t="shared" ref="H16:H22" si="1">ROUND(F17*G17,2)</f>
        <v>0</v>
      </c>
    </row>
    <row r="18" s="21" customFormat="1" ht="34" customHeight="1" spans="1:13">
      <c r="A18" s="8">
        <v>12</v>
      </c>
      <c r="B18" s="9" t="s">
        <v>180</v>
      </c>
      <c r="C18" s="9" t="s">
        <v>182</v>
      </c>
      <c r="D18" s="8" t="s">
        <v>79</v>
      </c>
      <c r="E18" s="23">
        <v>300</v>
      </c>
      <c r="F18" s="26">
        <f>E18*0.1</f>
        <v>30</v>
      </c>
      <c r="G18" s="25"/>
      <c r="H18" s="27">
        <f t="shared" si="1"/>
        <v>0</v>
      </c>
    </row>
    <row r="19" s="21" customFormat="1" ht="21" customHeight="1" spans="1:13">
      <c r="A19" s="8"/>
      <c r="B19" s="8" t="s">
        <v>183</v>
      </c>
      <c r="C19" s="8"/>
      <c r="D19" s="8"/>
      <c r="E19" s="23"/>
      <c r="F19" s="26"/>
      <c r="G19" s="25"/>
      <c r="H19" s="27"/>
    </row>
    <row r="20" s="21" customFormat="1" ht="31" customHeight="1" spans="1:13">
      <c r="A20" s="8">
        <v>13</v>
      </c>
      <c r="B20" s="9" t="s">
        <v>184</v>
      </c>
      <c r="C20" s="9" t="s">
        <v>185</v>
      </c>
      <c r="D20" s="8" t="s">
        <v>73</v>
      </c>
      <c r="E20" s="23">
        <v>9</v>
      </c>
      <c r="F20" s="26">
        <f>E20</f>
        <v>9</v>
      </c>
      <c r="G20" s="25"/>
      <c r="H20" s="27">
        <f t="shared" si="1"/>
        <v>0</v>
      </c>
    </row>
    <row r="21" s="21" customFormat="1" ht="21" customHeight="1" spans="1:13">
      <c r="A21" s="8"/>
      <c r="B21" s="8" t="s">
        <v>186</v>
      </c>
      <c r="C21" s="8"/>
      <c r="D21" s="8"/>
      <c r="E21" s="23"/>
      <c r="F21" s="26"/>
      <c r="G21" s="25"/>
      <c r="H21" s="27"/>
    </row>
    <row r="22" s="21" customFormat="1" ht="28" customHeight="1" spans="1:13">
      <c r="A22" s="8">
        <v>14</v>
      </c>
      <c r="B22" s="9" t="s">
        <v>187</v>
      </c>
      <c r="C22" s="9" t="s">
        <v>188</v>
      </c>
      <c r="D22" s="8" t="s">
        <v>36</v>
      </c>
      <c r="E22" s="23">
        <v>80</v>
      </c>
      <c r="F22" s="26">
        <f>E22</f>
        <v>80</v>
      </c>
      <c r="G22" s="25"/>
      <c r="H22" s="27">
        <f t="shared" si="1"/>
        <v>0</v>
      </c>
    </row>
    <row r="23" s="21" customFormat="1" ht="21" customHeight="1" spans="1:13">
      <c r="A23" s="8" t="s">
        <v>124</v>
      </c>
      <c r="B23" s="8"/>
      <c r="C23" s="8"/>
      <c r="D23" s="8"/>
      <c r="E23" s="8"/>
      <c r="F23" s="8"/>
      <c r="G23" s="8"/>
      <c r="H23" s="28">
        <f>SUM(H4:H22)</f>
        <v>0</v>
      </c>
    </row>
    <row r="24" s="21" customFormat="1" ht="21" customHeight="1" spans="1:13">
      <c r="A24" s="19" t="s">
        <v>88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="21" customFormat="1" ht="21" customHeight="1" spans="1:13">
      <c r="C25" s="29"/>
      <c r="D25" s="29"/>
      <c r="E25" s="29"/>
      <c r="F25" s="29"/>
      <c r="G25" s="29"/>
      <c r="H25" s="29"/>
    </row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</sheetData>
  <sheetProtection algorithmName="SHA-512" hashValue="3uJ7qQkxBG+ulwFwnkQLovh48I2deJElUbACRNeNOhOju6D2//cFz+zIzR6cvWDp0wIcJZ9Vowkg03A0GGmBHA==" saltValue="WhTr/xlZqDjK3W54gsbjlA==" spinCount="100000" sheet="1" objects="1"/>
  <mergeCells count="10">
    <mergeCell ref="A1:H1"/>
    <mergeCell ref="B3:C3"/>
    <mergeCell ref="B10:C10"/>
    <mergeCell ref="B14:C14"/>
    <mergeCell ref="B16:C16"/>
    <mergeCell ref="B19:C19"/>
    <mergeCell ref="B21:C21"/>
    <mergeCell ref="A23:G23"/>
    <mergeCell ref="A24:M24"/>
    <mergeCell ref="C25:H25"/>
  </mergeCells>
  <pageMargins left="0.751388888888889" right="0.751388888888889" top="1" bottom="1" header="0.511805555555556" footer="0.511805555555556"/>
  <pageSetup paperSize="9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7" workbookViewId="0">
      <selection activeCell="E15" sqref="E15"/>
    </sheetView>
  </sheetViews>
  <sheetFormatPr defaultColWidth="9" defaultRowHeight="15" outlineLevelCol="6"/>
  <cols>
    <col min="1" max="1" width="9" style="1"/>
    <col min="2" max="2" width="17.25" style="1" customWidth="1"/>
    <col min="3" max="3" width="30.125" style="2" customWidth="1"/>
    <col min="4" max="5" width="9" style="1"/>
    <col min="6" max="6" width="11.125" style="1" customWidth="1"/>
    <col min="7" max="7" width="14.625" style="1" customWidth="1"/>
  </cols>
  <sheetData>
    <row r="1" ht="24" customHeight="1" spans="1:7">
      <c r="A1" s="3" t="s">
        <v>189</v>
      </c>
      <c r="B1" s="3"/>
      <c r="C1" s="4"/>
      <c r="D1" s="3"/>
      <c r="E1" s="3"/>
      <c r="F1" s="3"/>
      <c r="G1" s="3"/>
    </row>
    <row r="2" ht="26" spans="1:7">
      <c r="A2" s="5" t="s">
        <v>1</v>
      </c>
      <c r="B2" s="5" t="s">
        <v>27</v>
      </c>
      <c r="C2" s="6" t="s">
        <v>28</v>
      </c>
      <c r="D2" s="5" t="s">
        <v>29</v>
      </c>
      <c r="E2" s="5" t="s">
        <v>30</v>
      </c>
      <c r="F2" s="5" t="s">
        <v>32</v>
      </c>
      <c r="G2" s="7" t="s">
        <v>33</v>
      </c>
    </row>
    <row r="3" ht="19" customHeight="1" spans="1:7">
      <c r="A3" s="8"/>
      <c r="B3" s="8" t="s">
        <v>190</v>
      </c>
      <c r="C3" s="9"/>
      <c r="D3" s="8"/>
      <c r="E3" s="8"/>
      <c r="F3" s="10"/>
      <c r="G3" s="10"/>
    </row>
    <row r="4" ht="42" customHeight="1" spans="1:7">
      <c r="A4" s="8" t="s">
        <v>95</v>
      </c>
      <c r="B4" s="11" t="s">
        <v>191</v>
      </c>
      <c r="C4" s="12" t="s">
        <v>192</v>
      </c>
      <c r="D4" s="8" t="s">
        <v>36</v>
      </c>
      <c r="E4" s="11">
        <v>300</v>
      </c>
      <c r="F4" s="13"/>
      <c r="G4" s="13">
        <f>F4*E4</f>
        <v>0</v>
      </c>
    </row>
    <row r="5" ht="42" customHeight="1" spans="1:7">
      <c r="A5" s="8" t="s">
        <v>98</v>
      </c>
      <c r="B5" s="11" t="s">
        <v>193</v>
      </c>
      <c r="C5" s="12" t="s">
        <v>194</v>
      </c>
      <c r="D5" s="14" t="s">
        <v>195</v>
      </c>
      <c r="E5" s="15">
        <v>30</v>
      </c>
      <c r="F5" s="13"/>
      <c r="G5" s="13">
        <f>F5*E5</f>
        <v>0</v>
      </c>
    </row>
    <row r="6" ht="42" customHeight="1" spans="1:7">
      <c r="A6" s="8" t="s">
        <v>101</v>
      </c>
      <c r="B6" s="11" t="s">
        <v>196</v>
      </c>
      <c r="C6" s="12" t="s">
        <v>197</v>
      </c>
      <c r="D6" s="14" t="s">
        <v>195</v>
      </c>
      <c r="E6" s="15">
        <v>147</v>
      </c>
      <c r="F6" s="16"/>
      <c r="G6" s="13">
        <f>F6*E6</f>
        <v>0</v>
      </c>
    </row>
    <row r="7" ht="54" spans="1:7">
      <c r="A7" s="8" t="s">
        <v>104</v>
      </c>
      <c r="B7" s="11" t="s">
        <v>198</v>
      </c>
      <c r="C7" s="12" t="s">
        <v>199</v>
      </c>
      <c r="D7" s="14" t="s">
        <v>73</v>
      </c>
      <c r="E7" s="15">
        <v>2</v>
      </c>
      <c r="F7" s="16"/>
      <c r="G7" s="13">
        <f>F7*E7</f>
        <v>0</v>
      </c>
    </row>
    <row r="8" ht="42" customHeight="1" spans="1:7">
      <c r="A8" s="8" t="s">
        <v>107</v>
      </c>
      <c r="B8" s="11" t="s">
        <v>200</v>
      </c>
      <c r="C8" s="12" t="s">
        <v>201</v>
      </c>
      <c r="D8" s="17" t="s">
        <v>202</v>
      </c>
      <c r="E8" s="11">
        <v>60</v>
      </c>
      <c r="F8" s="13"/>
      <c r="G8" s="13">
        <f t="shared" ref="G8:G16" si="0">F8*E8</f>
        <v>0</v>
      </c>
    </row>
    <row r="9" ht="42" customHeight="1" spans="1:7">
      <c r="A9" s="8" t="s">
        <v>110</v>
      </c>
      <c r="B9" s="11" t="s">
        <v>203</v>
      </c>
      <c r="C9" s="12" t="s">
        <v>204</v>
      </c>
      <c r="D9" s="17" t="s">
        <v>147</v>
      </c>
      <c r="E9" s="11">
        <v>50</v>
      </c>
      <c r="F9" s="13"/>
      <c r="G9" s="13">
        <f t="shared" si="0"/>
        <v>0</v>
      </c>
    </row>
    <row r="10" ht="42" customHeight="1" spans="1:7">
      <c r="A10" s="8" t="s">
        <v>113</v>
      </c>
      <c r="B10" s="11" t="s">
        <v>203</v>
      </c>
      <c r="C10" s="12" t="s">
        <v>205</v>
      </c>
      <c r="D10" s="17" t="s">
        <v>147</v>
      </c>
      <c r="E10" s="11">
        <v>90</v>
      </c>
      <c r="F10" s="13"/>
      <c r="G10" s="13">
        <f t="shared" si="0"/>
        <v>0</v>
      </c>
    </row>
    <row r="11" ht="42" customHeight="1" spans="1:7">
      <c r="A11" s="8" t="s">
        <v>116</v>
      </c>
      <c r="B11" s="11" t="s">
        <v>203</v>
      </c>
      <c r="C11" s="12" t="s">
        <v>206</v>
      </c>
      <c r="D11" s="17" t="s">
        <v>147</v>
      </c>
      <c r="E11" s="11">
        <v>90</v>
      </c>
      <c r="F11" s="13"/>
      <c r="G11" s="13">
        <f t="shared" si="0"/>
        <v>0</v>
      </c>
    </row>
    <row r="12" ht="42" customHeight="1" spans="1:7">
      <c r="A12" s="8" t="s">
        <v>118</v>
      </c>
      <c r="B12" s="11" t="s">
        <v>203</v>
      </c>
      <c r="C12" s="12" t="s">
        <v>207</v>
      </c>
      <c r="D12" s="17" t="s">
        <v>147</v>
      </c>
      <c r="E12" s="11">
        <v>40</v>
      </c>
      <c r="F12" s="13"/>
      <c r="G12" s="13">
        <f t="shared" si="0"/>
        <v>0</v>
      </c>
    </row>
    <row r="13" ht="42" customHeight="1" spans="1:7">
      <c r="A13" s="8" t="s">
        <v>120</v>
      </c>
      <c r="B13" s="11" t="s">
        <v>208</v>
      </c>
      <c r="C13" s="12" t="s">
        <v>209</v>
      </c>
      <c r="D13" s="11" t="s">
        <v>202</v>
      </c>
      <c r="E13" s="11">
        <f>12*5</f>
        <v>60</v>
      </c>
      <c r="F13" s="13"/>
      <c r="G13" s="13">
        <f t="shared" si="0"/>
        <v>0</v>
      </c>
    </row>
    <row r="14" ht="42" customHeight="1" spans="1:7">
      <c r="A14" s="8" t="s">
        <v>122</v>
      </c>
      <c r="B14" s="11" t="s">
        <v>210</v>
      </c>
      <c r="C14" s="12" t="s">
        <v>211</v>
      </c>
      <c r="D14" s="11" t="s">
        <v>36</v>
      </c>
      <c r="E14" s="11">
        <v>149995</v>
      </c>
      <c r="F14" s="13"/>
      <c r="G14" s="16">
        <f t="shared" si="0"/>
        <v>0</v>
      </c>
    </row>
    <row r="15" ht="66" customHeight="1" spans="1:7">
      <c r="A15" s="8" t="s">
        <v>212</v>
      </c>
      <c r="B15" s="11" t="s">
        <v>213</v>
      </c>
      <c r="C15" s="12" t="s">
        <v>214</v>
      </c>
      <c r="D15" s="11" t="s">
        <v>215</v>
      </c>
      <c r="E15" s="11">
        <v>1</v>
      </c>
      <c r="F15" s="13"/>
      <c r="G15" s="13">
        <f t="shared" si="0"/>
        <v>0</v>
      </c>
    </row>
    <row r="16" ht="42" customHeight="1" spans="1:7">
      <c r="A16" s="11"/>
      <c r="B16" s="11"/>
      <c r="C16" s="12"/>
      <c r="D16" s="11"/>
      <c r="E16" s="11"/>
      <c r="F16" s="13"/>
      <c r="G16" s="13"/>
    </row>
    <row r="17" ht="42" customHeight="1" spans="1:7">
      <c r="A17" s="11"/>
      <c r="B17" s="11"/>
      <c r="C17" s="12"/>
      <c r="D17" s="11"/>
      <c r="E17" s="11"/>
      <c r="F17" s="13"/>
      <c r="G17" s="18">
        <f>SUM(G4:G16)</f>
        <v>0</v>
      </c>
    </row>
    <row r="18" ht="27" customHeight="1" spans="1:7">
      <c r="A18" s="19" t="s">
        <v>88</v>
      </c>
      <c r="B18" s="19"/>
      <c r="C18" s="19"/>
      <c r="D18" s="19"/>
      <c r="E18" s="19"/>
      <c r="F18" s="19"/>
      <c r="G18" s="19"/>
    </row>
  </sheetData>
  <sheetProtection algorithmName="SHA-512" hashValue="VAaaVRbilWidvUJrlmG1Ko1OHV9c1SOYawBDG/JG111bp2d5rAo0aDVboxfWXRtyT7usx99ZXGBovpKurH+XDw==" saltValue="2bIHM9iuOO42BfFtAtlgJA==" spinCount="100000" sheet="1" objects="1"/>
  <mergeCells count="3">
    <mergeCell ref="A1:G1"/>
    <mergeCell ref="B3:C3"/>
    <mergeCell ref="A18:G18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" rangeCreator="" othersAccessPermission="edit"/>
  </rangeList>
  <rangeList sheetStid="3" master="" otherUserPermission="visible"/>
  <rangeList sheetStid="5" master="" otherUserPermission="visible"/>
  <rangeList sheetStid="6" master="" otherUserPermission="visible"/>
  <rangeList sheetStid="12" master="" otherUserPermission="visible"/>
  <rangeList sheetStid="11" master="" otherUserPermission="visible"/>
  <rangeList sheetStid="7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</vt:lpstr>
      <vt:lpstr>道路</vt:lpstr>
      <vt:lpstr>雨水管道疏通</vt:lpstr>
      <vt:lpstr>污水管道疏通</vt:lpstr>
      <vt:lpstr>出水口维修</vt:lpstr>
      <vt:lpstr>管道检测</vt:lpstr>
      <vt:lpstr>淤泥</vt:lpstr>
      <vt:lpstr>桥梁养护</vt:lpstr>
      <vt:lpstr>零星维修及应急处置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小丽子</cp:lastModifiedBy>
  <cp:revision>1</cp:revision>
  <dcterms:created xsi:type="dcterms:W3CDTF">2016-12-02T08:54:00Z</dcterms:created>
  <dcterms:modified xsi:type="dcterms:W3CDTF">2026-06-01T04:05:23Z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73F87587E8624F1C8CD55EAE50BE3C48_13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